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etne\Desktop\25년 1월 리스렌트 홈피\렌트\해제\"/>
    </mc:Choice>
  </mc:AlternateContent>
  <xr:revisionPtr revIDLastSave="0" documentId="13_ncr:1_{751CDA09-78B7-4AFC-A7EF-94713CD7159D}" xr6:coauthVersionLast="47" xr6:coauthVersionMax="47" xr10:uidLastSave="{00000000-0000-0000-0000-000000000000}"/>
  <bookViews>
    <workbookView xWindow="-120" yWindow="-120" windowWidth="29040" windowHeight="15840" tabRatio="940" firstSheet="1" activeTab="1" xr2:uid="{00000000-000D-0000-FFFF-FFFF00000000}"/>
  </bookViews>
  <sheets>
    <sheet name="공지" sheetId="28" state="hidden" r:id="rId1"/>
    <sheet name="렌터카견적내기" sheetId="5" r:id="rId2"/>
    <sheet name="고객용견적" sheetId="9" state="hidden" r:id="rId3"/>
    <sheet name="모델정보데이터" sheetId="8" state="hidden" r:id="rId4"/>
    <sheet name="렌터카모델" sheetId="7" r:id="rId5"/>
    <sheet name="잔가기준" sheetId="11" state="hidden" r:id="rId6"/>
    <sheet name="현대제조사탁송료(전기차too)" sheetId="2" state="hidden" r:id="rId7"/>
    <sheet name="렌터카보험_수정" sheetId="6" state="hidden" r:id="rId8"/>
    <sheet name="인수형확약서" sheetId="18" state="hidden" r:id="rId9"/>
    <sheet name="주요기준" sheetId="16" state="hidden" r:id="rId10"/>
    <sheet name="정비" sheetId="10" state="hidden" r:id="rId11"/>
  </sheets>
  <externalReferences>
    <externalReference r:id="rId12"/>
  </externalReferences>
  <definedNames>
    <definedName name="_xlnm._FilterDatabase" localSheetId="1" hidden="1">렌터카견적내기!$AM$2:$AQ$50</definedName>
    <definedName name="_xlnm._FilterDatabase" localSheetId="4" hidden="1">렌터카모델!$T$1:$U$99</definedName>
    <definedName name="_xlnm._FilterDatabase" localSheetId="3" hidden="1">모델정보데이터!$A$3:$BW$278</definedName>
    <definedName name="_xlnm._FilterDatabase" localSheetId="5" hidden="1">잔가기준!#REF!</definedName>
    <definedName name="au">렌터카견적내기!$BB$47</definedName>
    <definedName name="_xlnm.Print_Area" localSheetId="2">고객용견적!$A$1:$Z$89</definedName>
    <definedName name="_xlnm.Print_Area" localSheetId="0">공지!$A$1:$P$34</definedName>
    <definedName name="_xlnm.Print_Area" localSheetId="1">렌터카견적내기!$A$1:$AD$51,렌터카견적내기!$AE$2:$AK$51</definedName>
    <definedName name="_xlnm.Print_Area" localSheetId="8">인수형확약서!$A$1:$L$57</definedName>
    <definedName name="ㄷㄹㅇㄴㄹ">[1]신잔가표!#REF!</definedName>
    <definedName name="인수증">[1]신잔가표!#REF!</definedName>
    <definedName name="ㅌX2">잔가기준!#REF!</definedName>
  </definedNames>
  <calcPr calcId="191029"/>
  <fileRecoveryPr autoRecover="0"/>
</workbook>
</file>

<file path=xl/calcChain.xml><?xml version="1.0" encoding="utf-8"?>
<calcChain xmlns="http://schemas.openxmlformats.org/spreadsheetml/2006/main">
  <c r="BA4" i="5" l="1"/>
  <c r="BP77" i="8"/>
  <c r="BQ77" i="8" s="1"/>
  <c r="BE77" i="8"/>
  <c r="AX77" i="8"/>
  <c r="AW77" i="8"/>
  <c r="AU77" i="8"/>
  <c r="AT77" i="8"/>
  <c r="AS77" i="8"/>
  <c r="AR77" i="8"/>
  <c r="AQ77" i="8"/>
  <c r="AV77" i="8" s="1"/>
  <c r="AP77" i="8"/>
  <c r="AO77" i="8"/>
  <c r="AN77" i="8"/>
  <c r="AM77" i="8"/>
  <c r="AL77" i="8"/>
  <c r="B11" i="5" l="1"/>
  <c r="AU15" i="5"/>
  <c r="BP47" i="8" l="1"/>
  <c r="BQ47" i="8" s="1"/>
  <c r="BE47" i="8"/>
  <c r="AX47" i="8"/>
  <c r="AW47" i="8"/>
  <c r="AU47" i="8"/>
  <c r="AT47" i="8"/>
  <c r="AS47" i="8"/>
  <c r="AR47" i="8"/>
  <c r="AQ47" i="8"/>
  <c r="AP47" i="8"/>
  <c r="AO47" i="8"/>
  <c r="AN47" i="8"/>
  <c r="AM47" i="8"/>
  <c r="AL47" i="8"/>
  <c r="BP46" i="8"/>
  <c r="BQ46" i="8" s="1"/>
  <c r="BE46" i="8"/>
  <c r="AV46" i="8" s="1"/>
  <c r="AX46" i="8"/>
  <c r="AW46" i="8"/>
  <c r="AU46" i="8"/>
  <c r="AT46" i="8"/>
  <c r="AS46" i="8"/>
  <c r="AR46" i="8"/>
  <c r="AQ46" i="8"/>
  <c r="AP46" i="8"/>
  <c r="AO46" i="8"/>
  <c r="AN46" i="8"/>
  <c r="AM46" i="8"/>
  <c r="AL46" i="8"/>
  <c r="BP45" i="8"/>
  <c r="BQ45" i="8" s="1"/>
  <c r="BE45" i="8"/>
  <c r="AV45" i="8" s="1"/>
  <c r="AX45" i="8"/>
  <c r="AW45" i="8"/>
  <c r="AU45" i="8"/>
  <c r="AT45" i="8"/>
  <c r="AS45" i="8"/>
  <c r="AR45" i="8"/>
  <c r="AQ45" i="8"/>
  <c r="AP45" i="8"/>
  <c r="AO45" i="8"/>
  <c r="AN45" i="8"/>
  <c r="AM45" i="8"/>
  <c r="AL45" i="8"/>
  <c r="BP44" i="8"/>
  <c r="BQ44" i="8" s="1"/>
  <c r="BE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BP43" i="8"/>
  <c r="BQ43" i="8" s="1"/>
  <c r="BE43" i="8"/>
  <c r="AV43" i="8" s="1"/>
  <c r="AX43" i="8"/>
  <c r="AW43" i="8"/>
  <c r="AU43" i="8"/>
  <c r="AT43" i="8"/>
  <c r="AS43" i="8"/>
  <c r="AR43" i="8"/>
  <c r="AQ43" i="8"/>
  <c r="AP43" i="8"/>
  <c r="AO43" i="8"/>
  <c r="AN43" i="8"/>
  <c r="AM43" i="8"/>
  <c r="AL43" i="8"/>
  <c r="BP42" i="8"/>
  <c r="BQ42" i="8" s="1"/>
  <c r="BE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BP41" i="8"/>
  <c r="BQ41" i="8" s="1"/>
  <c r="BE41" i="8"/>
  <c r="AX41" i="8"/>
  <c r="AW41" i="8"/>
  <c r="AU41" i="8"/>
  <c r="AT41" i="8"/>
  <c r="AS41" i="8"/>
  <c r="AR41" i="8"/>
  <c r="AQ41" i="8"/>
  <c r="AP41" i="8"/>
  <c r="AO41" i="8"/>
  <c r="AN41" i="8"/>
  <c r="AM41" i="8"/>
  <c r="AL41" i="8"/>
  <c r="BP40" i="8"/>
  <c r="BQ40" i="8" s="1"/>
  <c r="BE40" i="8"/>
  <c r="AX40" i="8"/>
  <c r="AW40" i="8"/>
  <c r="AU40" i="8"/>
  <c r="AT40" i="8"/>
  <c r="AS40" i="8"/>
  <c r="AR40" i="8"/>
  <c r="AQ40" i="8"/>
  <c r="AV40" i="8" s="1"/>
  <c r="AP40" i="8"/>
  <c r="AO40" i="8"/>
  <c r="AN40" i="8"/>
  <c r="AM40" i="8"/>
  <c r="AL40" i="8"/>
  <c r="AV41" i="8" l="1"/>
  <c r="AV47" i="8"/>
  <c r="AP39" i="8"/>
  <c r="AT59" i="5"/>
  <c r="BP240" i="8" l="1"/>
  <c r="BQ240" i="8" s="1"/>
  <c r="BE240" i="8"/>
  <c r="AX240" i="8"/>
  <c r="AW240" i="8"/>
  <c r="AU240" i="8"/>
  <c r="AT240" i="8"/>
  <c r="AS240" i="8"/>
  <c r="AR240" i="8"/>
  <c r="AQ240" i="8"/>
  <c r="AV240" i="8" s="1"/>
  <c r="AP240" i="8"/>
  <c r="AO240" i="8"/>
  <c r="AN240" i="8"/>
  <c r="AM240" i="8"/>
  <c r="AL240" i="8"/>
  <c r="BP95" i="8" l="1"/>
  <c r="BQ95" i="8" s="1"/>
  <c r="BP96" i="8"/>
  <c r="BQ96" i="8" s="1"/>
  <c r="BP97" i="8"/>
  <c r="BQ97" i="8" s="1"/>
  <c r="BP98" i="8"/>
  <c r="BQ98" i="8" s="1"/>
  <c r="BP105" i="8"/>
  <c r="BQ105" i="8" s="1"/>
  <c r="BP106" i="8"/>
  <c r="BQ106" i="8" s="1"/>
  <c r="BP107" i="8"/>
  <c r="BQ107" i="8" s="1"/>
  <c r="BE105" i="8"/>
  <c r="BE95" i="8"/>
  <c r="BE96" i="8"/>
  <c r="BE97" i="8"/>
  <c r="AW105" i="8"/>
  <c r="AX105" i="8"/>
  <c r="AM105" i="8"/>
  <c r="AN105" i="8"/>
  <c r="AO105" i="8"/>
  <c r="AP105" i="8"/>
  <c r="AQ105" i="8"/>
  <c r="AR105" i="8"/>
  <c r="AS105" i="8"/>
  <c r="AT105" i="8"/>
  <c r="AU105" i="8"/>
  <c r="AM95" i="8"/>
  <c r="AN95" i="8"/>
  <c r="AO95" i="8"/>
  <c r="AP95" i="8"/>
  <c r="AQ95" i="8"/>
  <c r="AR95" i="8"/>
  <c r="AS95" i="8"/>
  <c r="AT95" i="8"/>
  <c r="AU95" i="8"/>
  <c r="AW95" i="8"/>
  <c r="AX95" i="8"/>
  <c r="AM96" i="8"/>
  <c r="AN96" i="8"/>
  <c r="AO96" i="8"/>
  <c r="AP96" i="8"/>
  <c r="AQ96" i="8"/>
  <c r="AR96" i="8"/>
  <c r="AS96" i="8"/>
  <c r="AT96" i="8"/>
  <c r="AU96" i="8"/>
  <c r="AW96" i="8"/>
  <c r="AX96" i="8"/>
  <c r="AM97" i="8"/>
  <c r="AN97" i="8"/>
  <c r="AO97" i="8"/>
  <c r="AP97" i="8"/>
  <c r="AQ97" i="8"/>
  <c r="AR97" i="8"/>
  <c r="AS97" i="8"/>
  <c r="AT97" i="8"/>
  <c r="AU97" i="8"/>
  <c r="AW97" i="8"/>
  <c r="AX97" i="8"/>
  <c r="AL105" i="8"/>
  <c r="AL95" i="8"/>
  <c r="AL96" i="8"/>
  <c r="AL97" i="8"/>
  <c r="AL98" i="8"/>
  <c r="AV96" i="8" l="1"/>
  <c r="AV95" i="8"/>
  <c r="AV97" i="8"/>
  <c r="AV105" i="8"/>
  <c r="BC243" i="8"/>
  <c r="BP108" i="8" l="1"/>
  <c r="BQ108" i="8" s="1"/>
  <c r="BP109" i="8"/>
  <c r="BQ109" i="8" s="1"/>
  <c r="BE109" i="8"/>
  <c r="BE107" i="8"/>
  <c r="BE108" i="8"/>
  <c r="AN107" i="8"/>
  <c r="AO107" i="8"/>
  <c r="AP107" i="8"/>
  <c r="AQ107" i="8"/>
  <c r="AR107" i="8"/>
  <c r="AS107" i="8"/>
  <c r="AT107" i="8"/>
  <c r="AU107" i="8"/>
  <c r="AW107" i="8"/>
  <c r="AX107" i="8"/>
  <c r="AN108" i="8"/>
  <c r="AO108" i="8"/>
  <c r="AP108" i="8"/>
  <c r="AQ108" i="8"/>
  <c r="AR108" i="8"/>
  <c r="AS108" i="8"/>
  <c r="AT108" i="8"/>
  <c r="AU108" i="8"/>
  <c r="AW108" i="8"/>
  <c r="AX108" i="8"/>
  <c r="AN109" i="8"/>
  <c r="AO109" i="8"/>
  <c r="AP109" i="8"/>
  <c r="AQ109" i="8"/>
  <c r="AR109" i="8"/>
  <c r="AS109" i="8"/>
  <c r="AT109" i="8"/>
  <c r="AU109" i="8"/>
  <c r="AW109" i="8"/>
  <c r="AX109" i="8"/>
  <c r="AM107" i="8"/>
  <c r="AM108" i="8"/>
  <c r="AM109" i="8"/>
  <c r="AL107" i="8"/>
  <c r="AL108" i="8"/>
  <c r="AL109" i="8"/>
  <c r="AL110" i="8"/>
  <c r="BP101" i="8"/>
  <c r="BQ101" i="8" s="1"/>
  <c r="BP102" i="8"/>
  <c r="BQ102" i="8" s="1"/>
  <c r="BP103" i="8"/>
  <c r="BQ103" i="8" s="1"/>
  <c r="BE101" i="8"/>
  <c r="BE102" i="8"/>
  <c r="AV102" i="8" s="1"/>
  <c r="BE103" i="8"/>
  <c r="BE104" i="8"/>
  <c r="AM101" i="8"/>
  <c r="AN101" i="8"/>
  <c r="AO101" i="8"/>
  <c r="AP101" i="8"/>
  <c r="AQ101" i="8"/>
  <c r="AR101" i="8"/>
  <c r="AS101" i="8"/>
  <c r="AT101" i="8"/>
  <c r="AU101" i="8"/>
  <c r="AW101" i="8"/>
  <c r="AX101" i="8"/>
  <c r="AM102" i="8"/>
  <c r="AN102" i="8"/>
  <c r="AO102" i="8"/>
  <c r="AP102" i="8"/>
  <c r="AQ102" i="8"/>
  <c r="AR102" i="8"/>
  <c r="AS102" i="8"/>
  <c r="AT102" i="8"/>
  <c r="AU102" i="8"/>
  <c r="AW102" i="8"/>
  <c r="AX102" i="8"/>
  <c r="AM103" i="8"/>
  <c r="AN103" i="8"/>
  <c r="AO103" i="8"/>
  <c r="AP103" i="8"/>
  <c r="AQ103" i="8"/>
  <c r="AR103" i="8"/>
  <c r="AS103" i="8"/>
  <c r="AT103" i="8"/>
  <c r="AU103" i="8"/>
  <c r="AW103" i="8"/>
  <c r="AX103" i="8"/>
  <c r="AL101" i="8"/>
  <c r="AL102" i="8"/>
  <c r="AL103" i="8"/>
  <c r="AL104" i="8"/>
  <c r="AL106" i="8"/>
  <c r="BP247" i="8"/>
  <c r="BP249" i="8"/>
  <c r="BP253" i="8"/>
  <c r="BP252" i="8"/>
  <c r="BP251" i="8"/>
  <c r="BP250" i="8"/>
  <c r="BP248" i="8"/>
  <c r="BP244" i="8"/>
  <c r="BP245" i="8"/>
  <c r="BP246" i="8"/>
  <c r="BP241" i="8"/>
  <c r="BP242" i="8"/>
  <c r="BP243" i="8"/>
  <c r="BP238" i="8"/>
  <c r="BP239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67" i="8"/>
  <c r="BP68" i="8"/>
  <c r="BP69" i="8"/>
  <c r="BP72" i="8"/>
  <c r="BP73" i="8"/>
  <c r="BP74" i="8"/>
  <c r="BP75" i="8"/>
  <c r="BP76" i="8"/>
  <c r="BP78" i="8"/>
  <c r="BP79" i="8"/>
  <c r="BP80" i="8"/>
  <c r="BP81" i="8"/>
  <c r="BP82" i="8"/>
  <c r="BP83" i="8"/>
  <c r="BP84" i="8"/>
  <c r="BP85" i="8"/>
  <c r="BP86" i="8"/>
  <c r="BP87" i="8"/>
  <c r="BP88" i="8"/>
  <c r="BP89" i="8"/>
  <c r="BP90" i="8"/>
  <c r="BP91" i="8"/>
  <c r="BP92" i="8"/>
  <c r="BP93" i="8"/>
  <c r="BP94" i="8"/>
  <c r="BP99" i="8"/>
  <c r="BP100" i="8"/>
  <c r="BP104" i="8"/>
  <c r="BQ104" i="8" s="1"/>
  <c r="BP110" i="8"/>
  <c r="BP111" i="8"/>
  <c r="BP112" i="8"/>
  <c r="BP113" i="8"/>
  <c r="BP118" i="8"/>
  <c r="BP119" i="8"/>
  <c r="BP120" i="8"/>
  <c r="BP121" i="8"/>
  <c r="BP122" i="8"/>
  <c r="BP123" i="8"/>
  <c r="BP124" i="8"/>
  <c r="BP125" i="8"/>
  <c r="BP126" i="8"/>
  <c r="BP127" i="8"/>
  <c r="BP128" i="8"/>
  <c r="BP129" i="8"/>
  <c r="BP130" i="8"/>
  <c r="BP131" i="8"/>
  <c r="BP132" i="8"/>
  <c r="BP133" i="8"/>
  <c r="BP134" i="8"/>
  <c r="BP135" i="8"/>
  <c r="BP136" i="8"/>
  <c r="BP137" i="8"/>
  <c r="BP138" i="8"/>
  <c r="BP139" i="8"/>
  <c r="BP140" i="8"/>
  <c r="BP141" i="8"/>
  <c r="BP142" i="8"/>
  <c r="BP143" i="8"/>
  <c r="BP144" i="8"/>
  <c r="BP145" i="8"/>
  <c r="BP146" i="8"/>
  <c r="BP147" i="8"/>
  <c r="BP148" i="8"/>
  <c r="BP149" i="8"/>
  <c r="BP150" i="8"/>
  <c r="BP151" i="8"/>
  <c r="BP152" i="8"/>
  <c r="BP153" i="8"/>
  <c r="BP154" i="8"/>
  <c r="BP155" i="8"/>
  <c r="BP156" i="8"/>
  <c r="BP157" i="8"/>
  <c r="BP158" i="8"/>
  <c r="BP159" i="8"/>
  <c r="BP160" i="8"/>
  <c r="BP161" i="8"/>
  <c r="BP162" i="8"/>
  <c r="BP163" i="8"/>
  <c r="BP164" i="8"/>
  <c r="BP165" i="8"/>
  <c r="BP166" i="8"/>
  <c r="BP167" i="8"/>
  <c r="BP168" i="8"/>
  <c r="BP169" i="8"/>
  <c r="BP170" i="8"/>
  <c r="BP171" i="8"/>
  <c r="BP172" i="8"/>
  <c r="BP173" i="8"/>
  <c r="BP175" i="8"/>
  <c r="BP176" i="8"/>
  <c r="BP178" i="8"/>
  <c r="BP179" i="8"/>
  <c r="BP180" i="8"/>
  <c r="BP181" i="8"/>
  <c r="BP182" i="8"/>
  <c r="BP183" i="8"/>
  <c r="BP184" i="8"/>
  <c r="BP185" i="8"/>
  <c r="BP186" i="8"/>
  <c r="BP187" i="8"/>
  <c r="BP188" i="8"/>
  <c r="BP189" i="8"/>
  <c r="BP190" i="8"/>
  <c r="BP191" i="8"/>
  <c r="BP192" i="8"/>
  <c r="BP195" i="8"/>
  <c r="BP196" i="8"/>
  <c r="BP197" i="8"/>
  <c r="BP198" i="8"/>
  <c r="BP199" i="8"/>
  <c r="BP200" i="8"/>
  <c r="BP201" i="8"/>
  <c r="BP4" i="8"/>
  <c r="AV103" i="8" l="1"/>
  <c r="AV108" i="8"/>
  <c r="AV109" i="8"/>
  <c r="AV107" i="8"/>
  <c r="AV101" i="8"/>
  <c r="BQ238" i="8"/>
  <c r="BE238" i="8"/>
  <c r="AX238" i="8"/>
  <c r="AW238" i="8"/>
  <c r="AU238" i="8"/>
  <c r="AT238" i="8"/>
  <c r="AS238" i="8"/>
  <c r="AR238" i="8"/>
  <c r="AQ238" i="8"/>
  <c r="AP238" i="8"/>
  <c r="AO238" i="8"/>
  <c r="AN238" i="8"/>
  <c r="AM238" i="8"/>
  <c r="AL238" i="8"/>
  <c r="AV238" i="8" l="1"/>
  <c r="BQ243" i="8"/>
  <c r="BE243" i="8"/>
  <c r="AX243" i="8"/>
  <c r="AW243" i="8"/>
  <c r="AU243" i="8"/>
  <c r="AT243" i="8"/>
  <c r="AS243" i="8"/>
  <c r="AR243" i="8"/>
  <c r="AQ243" i="8"/>
  <c r="AP243" i="8"/>
  <c r="AO243" i="8"/>
  <c r="AN243" i="8"/>
  <c r="AM243" i="8"/>
  <c r="AL243" i="8"/>
  <c r="BQ253" i="8"/>
  <c r="BE253" i="8"/>
  <c r="AX253" i="8"/>
  <c r="AW253" i="8"/>
  <c r="AU253" i="8"/>
  <c r="AT253" i="8"/>
  <c r="AS253" i="8"/>
  <c r="AR253" i="8"/>
  <c r="AQ253" i="8"/>
  <c r="AP253" i="8"/>
  <c r="AO253" i="8"/>
  <c r="AN253" i="8"/>
  <c r="AM253" i="8"/>
  <c r="AL253" i="8"/>
  <c r="AV253" i="8" l="1"/>
  <c r="AV243" i="8"/>
  <c r="BQ39" i="8"/>
  <c r="BE39" i="8"/>
  <c r="AX39" i="8"/>
  <c r="AW39" i="8"/>
  <c r="AU39" i="8"/>
  <c r="AT39" i="8"/>
  <c r="AS39" i="8"/>
  <c r="AR39" i="8"/>
  <c r="AQ39" i="8"/>
  <c r="AO39" i="8"/>
  <c r="AN39" i="8"/>
  <c r="AM39" i="8"/>
  <c r="AL39" i="8"/>
  <c r="BQ37" i="8"/>
  <c r="BE37" i="8"/>
  <c r="AX37" i="8"/>
  <c r="AW37" i="8"/>
  <c r="AU37" i="8"/>
  <c r="AT37" i="8"/>
  <c r="AS37" i="8"/>
  <c r="AR37" i="8"/>
  <c r="AQ37" i="8"/>
  <c r="AP37" i="8"/>
  <c r="AO37" i="8"/>
  <c r="AN37" i="8"/>
  <c r="AM37" i="8"/>
  <c r="AL37" i="8"/>
  <c r="BQ35" i="8"/>
  <c r="BE35" i="8"/>
  <c r="AX35" i="8"/>
  <c r="AW35" i="8"/>
  <c r="AU35" i="8"/>
  <c r="AT35" i="8"/>
  <c r="AS35" i="8"/>
  <c r="AR35" i="8"/>
  <c r="AQ35" i="8"/>
  <c r="AP35" i="8"/>
  <c r="AO35" i="8"/>
  <c r="AN35" i="8"/>
  <c r="AM35" i="8"/>
  <c r="AL35" i="8"/>
  <c r="BQ33" i="8"/>
  <c r="BE33" i="8"/>
  <c r="AX33" i="8"/>
  <c r="AW33" i="8"/>
  <c r="AU33" i="8"/>
  <c r="AT33" i="8"/>
  <c r="AS33" i="8"/>
  <c r="AR33" i="8"/>
  <c r="AQ33" i="8"/>
  <c r="AP33" i="8"/>
  <c r="AO33" i="8"/>
  <c r="AN33" i="8"/>
  <c r="AM33" i="8"/>
  <c r="AL33" i="8"/>
  <c r="AV35" i="8" l="1"/>
  <c r="AV33" i="8"/>
  <c r="AV39" i="8"/>
  <c r="AV37" i="8"/>
  <c r="BQ196" i="8"/>
  <c r="BE196" i="8"/>
  <c r="AX196" i="8"/>
  <c r="AW196" i="8"/>
  <c r="AU196" i="8"/>
  <c r="AT196" i="8"/>
  <c r="AS196" i="8"/>
  <c r="AR196" i="8"/>
  <c r="AQ196" i="8"/>
  <c r="AP196" i="8"/>
  <c r="AO196" i="8"/>
  <c r="AN196" i="8"/>
  <c r="AM196" i="8"/>
  <c r="AL196" i="8"/>
  <c r="BQ195" i="8"/>
  <c r="BE195" i="8"/>
  <c r="AX195" i="8"/>
  <c r="AW195" i="8"/>
  <c r="AU195" i="8"/>
  <c r="AT195" i="8"/>
  <c r="AS195" i="8"/>
  <c r="AR195" i="8"/>
  <c r="AQ195" i="8"/>
  <c r="AP195" i="8"/>
  <c r="AO195" i="8"/>
  <c r="AN195" i="8"/>
  <c r="AM195" i="8"/>
  <c r="AL195" i="8"/>
  <c r="AV195" i="8" l="1"/>
  <c r="AV196" i="8"/>
  <c r="AF16" i="5"/>
  <c r="AM17" i="5"/>
  <c r="AS21" i="5"/>
  <c r="AN11" i="5" l="1"/>
  <c r="BQ241" i="8" l="1"/>
  <c r="BE241" i="8"/>
  <c r="AX241" i="8"/>
  <c r="AW241" i="8"/>
  <c r="AU241" i="8"/>
  <c r="AT241" i="8"/>
  <c r="AS241" i="8"/>
  <c r="AR241" i="8"/>
  <c r="AQ241" i="8"/>
  <c r="AP241" i="8"/>
  <c r="AO241" i="8"/>
  <c r="AN241" i="8"/>
  <c r="AM241" i="8"/>
  <c r="AL241" i="8"/>
  <c r="BQ252" i="8"/>
  <c r="BE252" i="8"/>
  <c r="AX252" i="8"/>
  <c r="AW252" i="8"/>
  <c r="AU252" i="8"/>
  <c r="AT252" i="8"/>
  <c r="AS252" i="8"/>
  <c r="AR252" i="8"/>
  <c r="AQ252" i="8"/>
  <c r="AP252" i="8"/>
  <c r="AO252" i="8"/>
  <c r="AN252" i="8"/>
  <c r="AM252" i="8"/>
  <c r="AL252" i="8"/>
  <c r="AV241" i="8" l="1"/>
  <c r="AV252" i="8"/>
  <c r="BQ250" i="8" l="1"/>
  <c r="BE250" i="8"/>
  <c r="AX250" i="8"/>
  <c r="AW250" i="8"/>
  <c r="AU250" i="8"/>
  <c r="AT250" i="8"/>
  <c r="AS250" i="8"/>
  <c r="AR250" i="8"/>
  <c r="AQ250" i="8"/>
  <c r="AP250" i="8"/>
  <c r="AO250" i="8"/>
  <c r="AN250" i="8"/>
  <c r="AM250" i="8"/>
  <c r="AL250" i="8"/>
  <c r="AV250" i="8" l="1"/>
  <c r="BE202" i="8"/>
  <c r="AO202" i="8"/>
  <c r="AP202" i="8"/>
  <c r="AQ202" i="8"/>
  <c r="AR202" i="8"/>
  <c r="AS202" i="8"/>
  <c r="AT202" i="8"/>
  <c r="AU202" i="8"/>
  <c r="AW202" i="8"/>
  <c r="AN202" i="8"/>
  <c r="AM202" i="8"/>
  <c r="AL202" i="8"/>
  <c r="AX202" i="8"/>
  <c r="BP202" i="8" l="1"/>
  <c r="BQ202" i="8" s="1"/>
  <c r="AV202" i="8"/>
  <c r="BQ185" i="8"/>
  <c r="BQ186" i="8"/>
  <c r="BE185" i="8"/>
  <c r="BE186" i="8"/>
  <c r="BE187" i="8"/>
  <c r="AP185" i="8"/>
  <c r="AQ185" i="8"/>
  <c r="AR185" i="8"/>
  <c r="AS185" i="8"/>
  <c r="AT185" i="8"/>
  <c r="AU185" i="8"/>
  <c r="AW185" i="8"/>
  <c r="AX185" i="8"/>
  <c r="AP186" i="8"/>
  <c r="AQ186" i="8"/>
  <c r="AR186" i="8"/>
  <c r="AS186" i="8"/>
  <c r="AT186" i="8"/>
  <c r="AU186" i="8"/>
  <c r="AW186" i="8"/>
  <c r="AX186" i="8"/>
  <c r="AO185" i="8"/>
  <c r="AO186" i="8"/>
  <c r="AO187" i="8"/>
  <c r="AO188" i="8"/>
  <c r="AO189" i="8"/>
  <c r="AN185" i="8"/>
  <c r="AN186" i="8"/>
  <c r="AN187" i="8"/>
  <c r="AM185" i="8"/>
  <c r="AM186" i="8"/>
  <c r="AM187" i="8"/>
  <c r="AL185" i="8"/>
  <c r="AL186" i="8"/>
  <c r="AV186" i="8" l="1"/>
  <c r="AV185" i="8"/>
  <c r="AM206" i="8" l="1"/>
  <c r="BP206" i="8" s="1"/>
  <c r="BE236" i="8" l="1"/>
  <c r="BE205" i="8"/>
  <c r="AO205" i="8"/>
  <c r="AP205" i="8"/>
  <c r="AQ205" i="8"/>
  <c r="AR205" i="8"/>
  <c r="AS205" i="8"/>
  <c r="AT205" i="8"/>
  <c r="AU205" i="8"/>
  <c r="AW205" i="8"/>
  <c r="AX205" i="8"/>
  <c r="AN205" i="8"/>
  <c r="AM205" i="8"/>
  <c r="BP205" i="8" s="1"/>
  <c r="AL205" i="8"/>
  <c r="AL206" i="8"/>
  <c r="BE219" i="8"/>
  <c r="AO219" i="8"/>
  <c r="AP219" i="8"/>
  <c r="AQ219" i="8"/>
  <c r="AR219" i="8"/>
  <c r="AS219" i="8"/>
  <c r="AT219" i="8"/>
  <c r="AU219" i="8"/>
  <c r="AW219" i="8"/>
  <c r="AX219" i="8"/>
  <c r="AO220" i="8"/>
  <c r="AP220" i="8"/>
  <c r="AQ220" i="8"/>
  <c r="AR220" i="8"/>
  <c r="AS220" i="8"/>
  <c r="AT220" i="8"/>
  <c r="AU220" i="8"/>
  <c r="AW220" i="8"/>
  <c r="AX220" i="8"/>
  <c r="AO221" i="8"/>
  <c r="AP221" i="8"/>
  <c r="AQ221" i="8"/>
  <c r="AR221" i="8"/>
  <c r="AS221" i="8"/>
  <c r="AT221" i="8"/>
  <c r="AU221" i="8"/>
  <c r="AW221" i="8"/>
  <c r="AX221" i="8"/>
  <c r="AO222" i="8"/>
  <c r="AP222" i="8"/>
  <c r="AQ222" i="8"/>
  <c r="AR222" i="8"/>
  <c r="AS222" i="8"/>
  <c r="AT222" i="8"/>
  <c r="AU222" i="8"/>
  <c r="AW222" i="8"/>
  <c r="AX222" i="8"/>
  <c r="AN219" i="8"/>
  <c r="AN220" i="8"/>
  <c r="AN221" i="8"/>
  <c r="AN222" i="8"/>
  <c r="AN223" i="8"/>
  <c r="AN224" i="8"/>
  <c r="AM219" i="8"/>
  <c r="BP219" i="8" s="1"/>
  <c r="AM220" i="8"/>
  <c r="BP220" i="8" s="1"/>
  <c r="AM221" i="8"/>
  <c r="BP221" i="8" s="1"/>
  <c r="AM222" i="8"/>
  <c r="BP222" i="8" s="1"/>
  <c r="AM223" i="8"/>
  <c r="BP223" i="8" s="1"/>
  <c r="AL219" i="8"/>
  <c r="AL220" i="8"/>
  <c r="AL221" i="8"/>
  <c r="AL222" i="8"/>
  <c r="BE215" i="8"/>
  <c r="BE216" i="8"/>
  <c r="BE217" i="8"/>
  <c r="BE218" i="8"/>
  <c r="AX215" i="8"/>
  <c r="AX216" i="8"/>
  <c r="AX217" i="8"/>
  <c r="AX218" i="8"/>
  <c r="AW215" i="8"/>
  <c r="AW216" i="8"/>
  <c r="AW217" i="8"/>
  <c r="AW218" i="8"/>
  <c r="AU215" i="8"/>
  <c r="AU216" i="8"/>
  <c r="AU217" i="8"/>
  <c r="AU218" i="8"/>
  <c r="AT215" i="8"/>
  <c r="AT216" i="8"/>
  <c r="AT217" i="8"/>
  <c r="AT218" i="8"/>
  <c r="AS215" i="8"/>
  <c r="AS216" i="8"/>
  <c r="AS217" i="8"/>
  <c r="AS218" i="8"/>
  <c r="AR215" i="8"/>
  <c r="AR216" i="8"/>
  <c r="AR217" i="8"/>
  <c r="AR218" i="8"/>
  <c r="AQ215" i="8"/>
  <c r="AQ216" i="8"/>
  <c r="AQ217" i="8"/>
  <c r="AQ218" i="8"/>
  <c r="AP215" i="8"/>
  <c r="AP216" i="8"/>
  <c r="AP217" i="8"/>
  <c r="AP218" i="8"/>
  <c r="AO215" i="8"/>
  <c r="AO216" i="8"/>
  <c r="AO217" i="8"/>
  <c r="AO218" i="8"/>
  <c r="AN215" i="8"/>
  <c r="AN216" i="8"/>
  <c r="AN217" i="8"/>
  <c r="AN218" i="8"/>
  <c r="AM215" i="8"/>
  <c r="BP215" i="8" s="1"/>
  <c r="AM216" i="8"/>
  <c r="BP216" i="8" s="1"/>
  <c r="AM217" i="8"/>
  <c r="BP217" i="8" s="1"/>
  <c r="AM218" i="8"/>
  <c r="BP218" i="8" s="1"/>
  <c r="AL215" i="8"/>
  <c r="AL216" i="8"/>
  <c r="AL217" i="8"/>
  <c r="AL218" i="8"/>
  <c r="AL223" i="8"/>
  <c r="AL224" i="8"/>
  <c r="AL225" i="8"/>
  <c r="AL226" i="8"/>
  <c r="AL227" i="8"/>
  <c r="AV205" i="8" l="1"/>
  <c r="AV219" i="8"/>
  <c r="AV215" i="8"/>
  <c r="AV218" i="8"/>
  <c r="AV217" i="8"/>
  <c r="AV216" i="8"/>
  <c r="BQ219" i="8"/>
  <c r="BQ215" i="8"/>
  <c r="BQ218" i="8"/>
  <c r="BQ217" i="8"/>
  <c r="BQ216" i="8"/>
  <c r="BQ205" i="8"/>
  <c r="S102" i="6"/>
  <c r="T102" i="6"/>
  <c r="U102" i="6"/>
  <c r="S103" i="6"/>
  <c r="T103" i="6"/>
  <c r="U103" i="6"/>
  <c r="S104" i="6"/>
  <c r="T104" i="6"/>
  <c r="U104" i="6"/>
  <c r="S105" i="6"/>
  <c r="T105" i="6"/>
  <c r="U105" i="6"/>
  <c r="S106" i="6"/>
  <c r="T106" i="6"/>
  <c r="U106" i="6"/>
  <c r="S107" i="6"/>
  <c r="T107" i="6"/>
  <c r="U107" i="6"/>
  <c r="S108" i="6"/>
  <c r="T108" i="6"/>
  <c r="U108" i="6"/>
  <c r="S109" i="6"/>
  <c r="T109" i="6"/>
  <c r="U109" i="6"/>
  <c r="S110" i="6"/>
  <c r="T110" i="6"/>
  <c r="U110" i="6"/>
  <c r="R103" i="6"/>
  <c r="R104" i="6"/>
  <c r="R105" i="6"/>
  <c r="R106" i="6"/>
  <c r="R107" i="6"/>
  <c r="R108" i="6"/>
  <c r="R109" i="6"/>
  <c r="R110" i="6"/>
  <c r="R102" i="6"/>
  <c r="Z102" i="6"/>
  <c r="AA102" i="6"/>
  <c r="AB102" i="6"/>
  <c r="Z103" i="6"/>
  <c r="AA103" i="6"/>
  <c r="AB103" i="6"/>
  <c r="Z104" i="6"/>
  <c r="AA104" i="6"/>
  <c r="AB104" i="6"/>
  <c r="Z105" i="6"/>
  <c r="AA105" i="6"/>
  <c r="AB105" i="6"/>
  <c r="Z106" i="6"/>
  <c r="AA106" i="6"/>
  <c r="AB106" i="6"/>
  <c r="Z107" i="6"/>
  <c r="AA107" i="6"/>
  <c r="AB107" i="6"/>
  <c r="Z108" i="6"/>
  <c r="AA108" i="6"/>
  <c r="AB108" i="6"/>
  <c r="Z109" i="6"/>
  <c r="AA109" i="6"/>
  <c r="AB109" i="6"/>
  <c r="Z110" i="6"/>
  <c r="AA110" i="6"/>
  <c r="AB110" i="6"/>
  <c r="Y103" i="6"/>
  <c r="Y104" i="6"/>
  <c r="Y105" i="6"/>
  <c r="Y106" i="6"/>
  <c r="Y107" i="6"/>
  <c r="Y108" i="6"/>
  <c r="Y109" i="6"/>
  <c r="Y110" i="6"/>
  <c r="Y102" i="6"/>
  <c r="AF103" i="6"/>
  <c r="AG103" i="6"/>
  <c r="AH103" i="6"/>
  <c r="AI103" i="6"/>
  <c r="AF104" i="6"/>
  <c r="AG104" i="6"/>
  <c r="AH104" i="6"/>
  <c r="AI104" i="6"/>
  <c r="AF105" i="6"/>
  <c r="AG105" i="6"/>
  <c r="AH105" i="6"/>
  <c r="AI105" i="6"/>
  <c r="AF106" i="6"/>
  <c r="AG106" i="6"/>
  <c r="AH106" i="6"/>
  <c r="AI106" i="6"/>
  <c r="AF107" i="6"/>
  <c r="AG107" i="6"/>
  <c r="AH107" i="6"/>
  <c r="AI107" i="6"/>
  <c r="AF108" i="6"/>
  <c r="AG108" i="6"/>
  <c r="AH108" i="6"/>
  <c r="AI108" i="6"/>
  <c r="AF109" i="6"/>
  <c r="AG109" i="6"/>
  <c r="AH109" i="6"/>
  <c r="AI109" i="6"/>
  <c r="AF110" i="6"/>
  <c r="AG110" i="6"/>
  <c r="AH110" i="6"/>
  <c r="AI110" i="6"/>
  <c r="AG102" i="6"/>
  <c r="AH102" i="6"/>
  <c r="AI102" i="6"/>
  <c r="AF102" i="6"/>
  <c r="AN102" i="6"/>
  <c r="AO102" i="6"/>
  <c r="AP102" i="6"/>
  <c r="AN103" i="6"/>
  <c r="AO103" i="6"/>
  <c r="AP103" i="6"/>
  <c r="AN104" i="6"/>
  <c r="AO104" i="6"/>
  <c r="AP104" i="6"/>
  <c r="AN105" i="6"/>
  <c r="AO105" i="6"/>
  <c r="AP105" i="6"/>
  <c r="AN106" i="6"/>
  <c r="AO106" i="6"/>
  <c r="AP106" i="6"/>
  <c r="AN107" i="6"/>
  <c r="AO107" i="6"/>
  <c r="AP107" i="6"/>
  <c r="AN108" i="6"/>
  <c r="AO108" i="6"/>
  <c r="AP108" i="6"/>
  <c r="AN109" i="6"/>
  <c r="AO109" i="6"/>
  <c r="AP109" i="6"/>
  <c r="AN110" i="6"/>
  <c r="AO110" i="6"/>
  <c r="AP110" i="6"/>
  <c r="AM103" i="6"/>
  <c r="AM104" i="6"/>
  <c r="AM105" i="6"/>
  <c r="AM106" i="6"/>
  <c r="AM107" i="6"/>
  <c r="AM108" i="6"/>
  <c r="AM109" i="6"/>
  <c r="AM110" i="6"/>
  <c r="AM102" i="6"/>
  <c r="AN85" i="6"/>
  <c r="AO85" i="6"/>
  <c r="AP85" i="6"/>
  <c r="AN86" i="6"/>
  <c r="AO86" i="6"/>
  <c r="AP86" i="6"/>
  <c r="AN87" i="6"/>
  <c r="AO87" i="6"/>
  <c r="AP87" i="6"/>
  <c r="AN88" i="6"/>
  <c r="AO88" i="6"/>
  <c r="AP88" i="6"/>
  <c r="AN89" i="6"/>
  <c r="AO89" i="6"/>
  <c r="AP89" i="6"/>
  <c r="AN90" i="6"/>
  <c r="AO90" i="6"/>
  <c r="AP90" i="6"/>
  <c r="AN91" i="6"/>
  <c r="AO91" i="6"/>
  <c r="AP91" i="6"/>
  <c r="AN92" i="6"/>
  <c r="AO92" i="6"/>
  <c r="AP92" i="6"/>
  <c r="AN93" i="6"/>
  <c r="AO93" i="6"/>
  <c r="AP93" i="6"/>
  <c r="AM86" i="6"/>
  <c r="AM87" i="6"/>
  <c r="AM88" i="6"/>
  <c r="AM89" i="6"/>
  <c r="AM90" i="6"/>
  <c r="AM91" i="6"/>
  <c r="AM92" i="6"/>
  <c r="AM93" i="6"/>
  <c r="AM85" i="6"/>
  <c r="AG85" i="6"/>
  <c r="AH85" i="6"/>
  <c r="AI85" i="6"/>
  <c r="AG86" i="6"/>
  <c r="AH86" i="6"/>
  <c r="AI86" i="6"/>
  <c r="AG87" i="6"/>
  <c r="AH87" i="6"/>
  <c r="AI87" i="6"/>
  <c r="AG88" i="6"/>
  <c r="AH88" i="6"/>
  <c r="AI88" i="6"/>
  <c r="AG89" i="6"/>
  <c r="AH89" i="6"/>
  <c r="AI89" i="6"/>
  <c r="AG90" i="6"/>
  <c r="AH90" i="6"/>
  <c r="AI90" i="6"/>
  <c r="AG91" i="6"/>
  <c r="AH91" i="6"/>
  <c r="AI91" i="6"/>
  <c r="AG92" i="6"/>
  <c r="AH92" i="6"/>
  <c r="AI92" i="6"/>
  <c r="AG93" i="6"/>
  <c r="AH93" i="6"/>
  <c r="AI93" i="6"/>
  <c r="AF86" i="6"/>
  <c r="AF87" i="6"/>
  <c r="AF88" i="6"/>
  <c r="AF89" i="6"/>
  <c r="AF90" i="6"/>
  <c r="AF91" i="6"/>
  <c r="AF92" i="6"/>
  <c r="AF93" i="6"/>
  <c r="AF85" i="6"/>
  <c r="Z85" i="6"/>
  <c r="AA85" i="6"/>
  <c r="AB85" i="6"/>
  <c r="Z86" i="6"/>
  <c r="AA86" i="6"/>
  <c r="AB86" i="6"/>
  <c r="Z87" i="6"/>
  <c r="AA87" i="6"/>
  <c r="AB87" i="6"/>
  <c r="Z88" i="6"/>
  <c r="AA88" i="6"/>
  <c r="AB88" i="6"/>
  <c r="Z89" i="6"/>
  <c r="AA89" i="6"/>
  <c r="AB89" i="6"/>
  <c r="Z90" i="6"/>
  <c r="AA90" i="6"/>
  <c r="AB90" i="6"/>
  <c r="Z91" i="6"/>
  <c r="AA91" i="6"/>
  <c r="AB91" i="6"/>
  <c r="Z92" i="6"/>
  <c r="AA92" i="6"/>
  <c r="AB92" i="6"/>
  <c r="Z93" i="6"/>
  <c r="AA93" i="6"/>
  <c r="AB93" i="6"/>
  <c r="Y86" i="6"/>
  <c r="Y87" i="6"/>
  <c r="Y88" i="6"/>
  <c r="Y89" i="6"/>
  <c r="Y90" i="6"/>
  <c r="Y91" i="6"/>
  <c r="Y92" i="6"/>
  <c r="Y93" i="6"/>
  <c r="Y85" i="6"/>
  <c r="S85" i="6"/>
  <c r="T85" i="6"/>
  <c r="U85" i="6"/>
  <c r="S86" i="6"/>
  <c r="T86" i="6"/>
  <c r="U86" i="6"/>
  <c r="S87" i="6"/>
  <c r="T87" i="6"/>
  <c r="U87" i="6"/>
  <c r="S88" i="6"/>
  <c r="T88" i="6"/>
  <c r="U88" i="6"/>
  <c r="S89" i="6"/>
  <c r="T89" i="6"/>
  <c r="U89" i="6"/>
  <c r="S90" i="6"/>
  <c r="T90" i="6"/>
  <c r="U90" i="6"/>
  <c r="S91" i="6"/>
  <c r="T91" i="6"/>
  <c r="U91" i="6"/>
  <c r="S92" i="6"/>
  <c r="T92" i="6"/>
  <c r="U92" i="6"/>
  <c r="S93" i="6"/>
  <c r="T93" i="6"/>
  <c r="U93" i="6"/>
  <c r="R86" i="6"/>
  <c r="R87" i="6"/>
  <c r="R88" i="6"/>
  <c r="R89" i="6"/>
  <c r="R90" i="6"/>
  <c r="R91" i="6"/>
  <c r="R92" i="6"/>
  <c r="R93" i="6"/>
  <c r="R85" i="6"/>
  <c r="AN65" i="6"/>
  <c r="AO65" i="6"/>
  <c r="AP65" i="6"/>
  <c r="AN66" i="6"/>
  <c r="AO66" i="6"/>
  <c r="AP66" i="6"/>
  <c r="AN67" i="6"/>
  <c r="AO67" i="6"/>
  <c r="AP67" i="6"/>
  <c r="AN68" i="6"/>
  <c r="AO68" i="6"/>
  <c r="AP68" i="6"/>
  <c r="AN69" i="6"/>
  <c r="AO69" i="6"/>
  <c r="AP69" i="6"/>
  <c r="AN70" i="6"/>
  <c r="AO70" i="6"/>
  <c r="AP70" i="6"/>
  <c r="AN71" i="6"/>
  <c r="AO71" i="6"/>
  <c r="AP71" i="6"/>
  <c r="AN72" i="6"/>
  <c r="AO72" i="6"/>
  <c r="AP72" i="6"/>
  <c r="AN73" i="6"/>
  <c r="AO73" i="6"/>
  <c r="AP73" i="6"/>
  <c r="AM66" i="6"/>
  <c r="AM67" i="6"/>
  <c r="AM68" i="6"/>
  <c r="AM69" i="6"/>
  <c r="AM70" i="6"/>
  <c r="AM71" i="6"/>
  <c r="AM72" i="6"/>
  <c r="AM73" i="6"/>
  <c r="AM65" i="6"/>
  <c r="AG65" i="6"/>
  <c r="AH65" i="6"/>
  <c r="AI65" i="6"/>
  <c r="AG66" i="6"/>
  <c r="AH66" i="6"/>
  <c r="AI66" i="6"/>
  <c r="AG67" i="6"/>
  <c r="AH67" i="6"/>
  <c r="AI67" i="6"/>
  <c r="AG68" i="6"/>
  <c r="AH68" i="6"/>
  <c r="AI68" i="6"/>
  <c r="AG69" i="6"/>
  <c r="AH69" i="6"/>
  <c r="AI69" i="6"/>
  <c r="AG70" i="6"/>
  <c r="AH70" i="6"/>
  <c r="AI70" i="6"/>
  <c r="AG71" i="6"/>
  <c r="AH71" i="6"/>
  <c r="AI71" i="6"/>
  <c r="AG72" i="6"/>
  <c r="AH72" i="6"/>
  <c r="AI72" i="6"/>
  <c r="AG73" i="6"/>
  <c r="AH73" i="6"/>
  <c r="AI73" i="6"/>
  <c r="AF66" i="6"/>
  <c r="AF67" i="6"/>
  <c r="AF68" i="6"/>
  <c r="AF69" i="6"/>
  <c r="AF70" i="6"/>
  <c r="AF71" i="6"/>
  <c r="AF72" i="6"/>
  <c r="AF73" i="6"/>
  <c r="AF65" i="6"/>
  <c r="Z65" i="6"/>
  <c r="AA65" i="6"/>
  <c r="AB65" i="6"/>
  <c r="Z66" i="6"/>
  <c r="AA66" i="6"/>
  <c r="AB66" i="6"/>
  <c r="Z67" i="6"/>
  <c r="AA67" i="6"/>
  <c r="AB67" i="6"/>
  <c r="Z68" i="6"/>
  <c r="AA68" i="6"/>
  <c r="AB68" i="6"/>
  <c r="Z69" i="6"/>
  <c r="AA69" i="6"/>
  <c r="AB69" i="6"/>
  <c r="Z70" i="6"/>
  <c r="AA70" i="6"/>
  <c r="AB70" i="6"/>
  <c r="Z71" i="6"/>
  <c r="AA71" i="6"/>
  <c r="AB71" i="6"/>
  <c r="Z72" i="6"/>
  <c r="AA72" i="6"/>
  <c r="AB72" i="6"/>
  <c r="Z73" i="6"/>
  <c r="AA73" i="6"/>
  <c r="AB73" i="6"/>
  <c r="Y66" i="6"/>
  <c r="Y67" i="6"/>
  <c r="Y68" i="6"/>
  <c r="Y69" i="6"/>
  <c r="Y70" i="6"/>
  <c r="Y71" i="6"/>
  <c r="Y72" i="6"/>
  <c r="Y73" i="6"/>
  <c r="Y65" i="6"/>
  <c r="S65" i="6"/>
  <c r="T65" i="6"/>
  <c r="U65" i="6"/>
  <c r="S66" i="6"/>
  <c r="T66" i="6"/>
  <c r="U66" i="6"/>
  <c r="S67" i="6"/>
  <c r="T67" i="6"/>
  <c r="U67" i="6"/>
  <c r="S68" i="6"/>
  <c r="T68" i="6"/>
  <c r="U68" i="6"/>
  <c r="S69" i="6"/>
  <c r="T69" i="6"/>
  <c r="U69" i="6"/>
  <c r="S70" i="6"/>
  <c r="T70" i="6"/>
  <c r="U70" i="6"/>
  <c r="S71" i="6"/>
  <c r="T71" i="6"/>
  <c r="U71" i="6"/>
  <c r="S72" i="6"/>
  <c r="T72" i="6"/>
  <c r="U72" i="6"/>
  <c r="S73" i="6"/>
  <c r="T73" i="6"/>
  <c r="U73" i="6"/>
  <c r="R66" i="6"/>
  <c r="R67" i="6"/>
  <c r="R68" i="6"/>
  <c r="R69" i="6"/>
  <c r="R70" i="6"/>
  <c r="R71" i="6"/>
  <c r="R72" i="6"/>
  <c r="R73" i="6"/>
  <c r="R65" i="6"/>
  <c r="AN48" i="6"/>
  <c r="AO48" i="6"/>
  <c r="AP48" i="6"/>
  <c r="AN49" i="6"/>
  <c r="AO49" i="6"/>
  <c r="AP49" i="6"/>
  <c r="AN50" i="6"/>
  <c r="AO50" i="6"/>
  <c r="AP50" i="6"/>
  <c r="AN51" i="6"/>
  <c r="AO51" i="6"/>
  <c r="AP51" i="6"/>
  <c r="AN52" i="6"/>
  <c r="AO52" i="6"/>
  <c r="AP52" i="6"/>
  <c r="AN53" i="6"/>
  <c r="AO53" i="6"/>
  <c r="AP53" i="6"/>
  <c r="AN54" i="6"/>
  <c r="AO54" i="6"/>
  <c r="AP54" i="6"/>
  <c r="AN55" i="6"/>
  <c r="AO55" i="6"/>
  <c r="AP55" i="6"/>
  <c r="AN56" i="6"/>
  <c r="AO56" i="6"/>
  <c r="AP56" i="6"/>
  <c r="AM56" i="6"/>
  <c r="AM49" i="6"/>
  <c r="AM50" i="6"/>
  <c r="AM51" i="6"/>
  <c r="AM52" i="6"/>
  <c r="AM53" i="6"/>
  <c r="AM54" i="6"/>
  <c r="AM55" i="6"/>
  <c r="AM48" i="6"/>
  <c r="AG48" i="6"/>
  <c r="AH48" i="6"/>
  <c r="AI48" i="6"/>
  <c r="AG49" i="6"/>
  <c r="AH49" i="6"/>
  <c r="AI49" i="6"/>
  <c r="AG50" i="6"/>
  <c r="AH50" i="6"/>
  <c r="AI50" i="6"/>
  <c r="AG51" i="6"/>
  <c r="AH51" i="6"/>
  <c r="AI51" i="6"/>
  <c r="AG52" i="6"/>
  <c r="AH52" i="6"/>
  <c r="AI52" i="6"/>
  <c r="AG53" i="6"/>
  <c r="AH53" i="6"/>
  <c r="AI53" i="6"/>
  <c r="AG54" i="6"/>
  <c r="AH54" i="6"/>
  <c r="AI54" i="6"/>
  <c r="AG55" i="6"/>
  <c r="AH55" i="6"/>
  <c r="AI55" i="6"/>
  <c r="AG56" i="6"/>
  <c r="AH56" i="6"/>
  <c r="AI56" i="6"/>
  <c r="AF49" i="6"/>
  <c r="AF50" i="6"/>
  <c r="AF51" i="6"/>
  <c r="AF52" i="6"/>
  <c r="AF53" i="6"/>
  <c r="AF54" i="6"/>
  <c r="AF55" i="6"/>
  <c r="AF56" i="6"/>
  <c r="AF48" i="6"/>
  <c r="Z48" i="6"/>
  <c r="AA48" i="6"/>
  <c r="AB48" i="6"/>
  <c r="Z49" i="6"/>
  <c r="AA49" i="6"/>
  <c r="AB49" i="6"/>
  <c r="Z50" i="6"/>
  <c r="AA50" i="6"/>
  <c r="AB50" i="6"/>
  <c r="Z51" i="6"/>
  <c r="AA51" i="6"/>
  <c r="AB51" i="6"/>
  <c r="Z52" i="6"/>
  <c r="AA52" i="6"/>
  <c r="AB52" i="6"/>
  <c r="Z53" i="6"/>
  <c r="AA53" i="6"/>
  <c r="AB53" i="6"/>
  <c r="Z54" i="6"/>
  <c r="AA54" i="6"/>
  <c r="AB54" i="6"/>
  <c r="Z55" i="6"/>
  <c r="AA55" i="6"/>
  <c r="AB55" i="6"/>
  <c r="Z56" i="6"/>
  <c r="AA56" i="6"/>
  <c r="AB56" i="6"/>
  <c r="Y49" i="6"/>
  <c r="Y50" i="6"/>
  <c r="Y51" i="6"/>
  <c r="Y52" i="6"/>
  <c r="Y53" i="6"/>
  <c r="Y54" i="6"/>
  <c r="Y55" i="6"/>
  <c r="Y56" i="6"/>
  <c r="Y48" i="6"/>
  <c r="S48" i="6"/>
  <c r="T48" i="6"/>
  <c r="U48" i="6"/>
  <c r="S49" i="6"/>
  <c r="T49" i="6"/>
  <c r="U49" i="6"/>
  <c r="S50" i="6"/>
  <c r="T50" i="6"/>
  <c r="U50" i="6"/>
  <c r="S51" i="6"/>
  <c r="T51" i="6"/>
  <c r="U51" i="6"/>
  <c r="S52" i="6"/>
  <c r="T52" i="6"/>
  <c r="U52" i="6"/>
  <c r="S53" i="6"/>
  <c r="T53" i="6"/>
  <c r="U53" i="6"/>
  <c r="S54" i="6"/>
  <c r="T54" i="6"/>
  <c r="U54" i="6"/>
  <c r="S55" i="6"/>
  <c r="T55" i="6"/>
  <c r="U55" i="6"/>
  <c r="S56" i="6"/>
  <c r="T56" i="6"/>
  <c r="U56" i="6"/>
  <c r="R50" i="6"/>
  <c r="R51" i="6"/>
  <c r="R52" i="6"/>
  <c r="R53" i="6"/>
  <c r="R54" i="6"/>
  <c r="R55" i="6"/>
  <c r="R56" i="6"/>
  <c r="R49" i="6"/>
  <c r="R48" i="6"/>
  <c r="BT152" i="6"/>
  <c r="BS152" i="6"/>
  <c r="BR152" i="6"/>
  <c r="BQ152" i="6"/>
  <c r="BM152" i="6"/>
  <c r="BL152" i="6"/>
  <c r="BK152" i="6"/>
  <c r="BJ152" i="6"/>
  <c r="BF152" i="6"/>
  <c r="BE152" i="6"/>
  <c r="BD152" i="6"/>
  <c r="BC152" i="6"/>
  <c r="AY152" i="6"/>
  <c r="AX152" i="6"/>
  <c r="AW152" i="6"/>
  <c r="AV152" i="6"/>
  <c r="BT151" i="6"/>
  <c r="BS151" i="6"/>
  <c r="BR151" i="6"/>
  <c r="BQ151" i="6"/>
  <c r="BM151" i="6"/>
  <c r="BL151" i="6"/>
  <c r="BK151" i="6"/>
  <c r="BJ151" i="6"/>
  <c r="BF151" i="6"/>
  <c r="BE151" i="6"/>
  <c r="BD151" i="6"/>
  <c r="BC151" i="6"/>
  <c r="AY151" i="6"/>
  <c r="AX151" i="6"/>
  <c r="AW151" i="6"/>
  <c r="AV151" i="6"/>
  <c r="BT135" i="6"/>
  <c r="BS135" i="6"/>
  <c r="BR135" i="6"/>
  <c r="BQ135" i="6"/>
  <c r="BM135" i="6"/>
  <c r="BL135" i="6"/>
  <c r="BK135" i="6"/>
  <c r="BJ135" i="6"/>
  <c r="BF135" i="6"/>
  <c r="BE135" i="6"/>
  <c r="BD135" i="6"/>
  <c r="BC135" i="6"/>
  <c r="AY135" i="6"/>
  <c r="AX135" i="6"/>
  <c r="AW135" i="6"/>
  <c r="AV135" i="6"/>
  <c r="BT134" i="6"/>
  <c r="BS134" i="6"/>
  <c r="BR134" i="6"/>
  <c r="BQ134" i="6"/>
  <c r="BM134" i="6"/>
  <c r="BL134" i="6"/>
  <c r="BK134" i="6"/>
  <c r="BJ134" i="6"/>
  <c r="BF134" i="6"/>
  <c r="BE134" i="6"/>
  <c r="BD134" i="6"/>
  <c r="BC134" i="6"/>
  <c r="AY134" i="6"/>
  <c r="AX134" i="6"/>
  <c r="AW134" i="6"/>
  <c r="AV134" i="6"/>
  <c r="BT114" i="6"/>
  <c r="BS114" i="6"/>
  <c r="BR114" i="6"/>
  <c r="BQ114" i="6"/>
  <c r="BN114" i="6"/>
  <c r="BM114" i="6"/>
  <c r="BL114" i="6"/>
  <c r="BK114" i="6"/>
  <c r="BJ114" i="6"/>
  <c r="BF114" i="6"/>
  <c r="BE114" i="6"/>
  <c r="BD114" i="6"/>
  <c r="BC114" i="6"/>
  <c r="AY114" i="6"/>
  <c r="AX114" i="6"/>
  <c r="AW114" i="6"/>
  <c r="AV114" i="6"/>
  <c r="BT113" i="6"/>
  <c r="BS113" i="6"/>
  <c r="BR113" i="6"/>
  <c r="BQ113" i="6"/>
  <c r="BM113" i="6"/>
  <c r="BL113" i="6"/>
  <c r="BK113" i="6"/>
  <c r="BJ113" i="6"/>
  <c r="BF113" i="6"/>
  <c r="BE113" i="6"/>
  <c r="BD113" i="6"/>
  <c r="BC113" i="6"/>
  <c r="AY113" i="6"/>
  <c r="AX113" i="6"/>
  <c r="AW113" i="6"/>
  <c r="AV113" i="6"/>
  <c r="BT97" i="6"/>
  <c r="BS97" i="6"/>
  <c r="BR97" i="6"/>
  <c r="BQ97" i="6"/>
  <c r="BM97" i="6"/>
  <c r="BL97" i="6"/>
  <c r="BK97" i="6"/>
  <c r="BJ97" i="6"/>
  <c r="BF97" i="6"/>
  <c r="BE97" i="6"/>
  <c r="BD97" i="6"/>
  <c r="BC97" i="6"/>
  <c r="AY97" i="6"/>
  <c r="AX97" i="6"/>
  <c r="AW97" i="6"/>
  <c r="AV97" i="6"/>
  <c r="BT96" i="6"/>
  <c r="BS96" i="6"/>
  <c r="BR96" i="6"/>
  <c r="BQ96" i="6"/>
  <c r="BM96" i="6"/>
  <c r="BL96" i="6"/>
  <c r="BK96" i="6"/>
  <c r="BJ96" i="6"/>
  <c r="BF96" i="6"/>
  <c r="BE96" i="6"/>
  <c r="BD96" i="6"/>
  <c r="BC96" i="6"/>
  <c r="AY96" i="6"/>
  <c r="AX96" i="6"/>
  <c r="AW96" i="6"/>
  <c r="AV96" i="6"/>
  <c r="BT77" i="6"/>
  <c r="BS77" i="6"/>
  <c r="BR77" i="6"/>
  <c r="BQ77" i="6"/>
  <c r="BM77" i="6"/>
  <c r="BL77" i="6"/>
  <c r="BK77" i="6"/>
  <c r="BJ77" i="6"/>
  <c r="BF77" i="6"/>
  <c r="BE77" i="6"/>
  <c r="BD77" i="6"/>
  <c r="BC77" i="6"/>
  <c r="AY77" i="6"/>
  <c r="AX77" i="6"/>
  <c r="AW77" i="6"/>
  <c r="AV77" i="6"/>
  <c r="BT76" i="6"/>
  <c r="BS76" i="6"/>
  <c r="BR76" i="6"/>
  <c r="BQ76" i="6"/>
  <c r="BM76" i="6"/>
  <c r="BL76" i="6"/>
  <c r="BK76" i="6"/>
  <c r="BJ76" i="6"/>
  <c r="BF76" i="6"/>
  <c r="BE76" i="6"/>
  <c r="BD76" i="6"/>
  <c r="BC76" i="6"/>
  <c r="AY76" i="6"/>
  <c r="AX76" i="6"/>
  <c r="AW76" i="6"/>
  <c r="AV76" i="6"/>
  <c r="BT60" i="6"/>
  <c r="BS60" i="6"/>
  <c r="BR60" i="6"/>
  <c r="BQ60" i="6"/>
  <c r="BM60" i="6"/>
  <c r="BL60" i="6"/>
  <c r="BK60" i="6"/>
  <c r="BJ60" i="6"/>
  <c r="BF60" i="6"/>
  <c r="BE60" i="6"/>
  <c r="BD60" i="6"/>
  <c r="BC60" i="6"/>
  <c r="AY60" i="6"/>
  <c r="AX60" i="6"/>
  <c r="AW60" i="6"/>
  <c r="AV60" i="6"/>
  <c r="BT59" i="6"/>
  <c r="BS59" i="6"/>
  <c r="BR59" i="6"/>
  <c r="BQ59" i="6"/>
  <c r="BM59" i="6"/>
  <c r="BL59" i="6"/>
  <c r="BK59" i="6"/>
  <c r="BJ59" i="6"/>
  <c r="BF59" i="6"/>
  <c r="BE59" i="6"/>
  <c r="BD59" i="6"/>
  <c r="BC59" i="6"/>
  <c r="AY59" i="6"/>
  <c r="AX59" i="6"/>
  <c r="AW59" i="6"/>
  <c r="AV59" i="6"/>
  <c r="BT40" i="6"/>
  <c r="BS40" i="6"/>
  <c r="BR40" i="6"/>
  <c r="BQ40" i="6"/>
  <c r="BM40" i="6"/>
  <c r="BL40" i="6"/>
  <c r="BK40" i="6"/>
  <c r="BJ40" i="6"/>
  <c r="BF40" i="6"/>
  <c r="BE40" i="6"/>
  <c r="BD40" i="6"/>
  <c r="BC40" i="6"/>
  <c r="AY40" i="6"/>
  <c r="AX40" i="6"/>
  <c r="AW40" i="6"/>
  <c r="AV40" i="6"/>
  <c r="BT23" i="6"/>
  <c r="BS23" i="6"/>
  <c r="BR23" i="6"/>
  <c r="BQ23" i="6"/>
  <c r="BM23" i="6"/>
  <c r="BL23" i="6"/>
  <c r="BK23" i="6"/>
  <c r="BJ23" i="6"/>
  <c r="BF23" i="6"/>
  <c r="BE23" i="6"/>
  <c r="BD23" i="6"/>
  <c r="BC23" i="6"/>
  <c r="AY23" i="6"/>
  <c r="AX23" i="6"/>
  <c r="AW23" i="6"/>
  <c r="AV23" i="6"/>
  <c r="AY22" i="6"/>
  <c r="AX22" i="6"/>
  <c r="AW22" i="6"/>
  <c r="AV22" i="6"/>
  <c r="AP135" i="6"/>
  <c r="AO135" i="6"/>
  <c r="AN135" i="6"/>
  <c r="AM135" i="6"/>
  <c r="AI152" i="6"/>
  <c r="AH152" i="6"/>
  <c r="AG152" i="6"/>
  <c r="AF152" i="6"/>
  <c r="AI135" i="6"/>
  <c r="AH135" i="6"/>
  <c r="AG135" i="6"/>
  <c r="AF135" i="6"/>
  <c r="AB152" i="6"/>
  <c r="AA152" i="6"/>
  <c r="Z152" i="6"/>
  <c r="Y152" i="6"/>
  <c r="AB135" i="6"/>
  <c r="AA135" i="6"/>
  <c r="Z135" i="6"/>
  <c r="Y135" i="6"/>
  <c r="U152" i="6"/>
  <c r="T152" i="6"/>
  <c r="S152" i="6"/>
  <c r="R152" i="6"/>
  <c r="S135" i="6"/>
  <c r="T135" i="6"/>
  <c r="U135" i="6"/>
  <c r="R135" i="6"/>
  <c r="AP40" i="6"/>
  <c r="AO40" i="6"/>
  <c r="AN40" i="6"/>
  <c r="AM40" i="6"/>
  <c r="AI40" i="6"/>
  <c r="AH40" i="6"/>
  <c r="AG40" i="6"/>
  <c r="AF40" i="6"/>
  <c r="AB40" i="6"/>
  <c r="AA40" i="6"/>
  <c r="Z40" i="6"/>
  <c r="Y40" i="6"/>
  <c r="S40" i="6"/>
  <c r="T40" i="6"/>
  <c r="U40" i="6"/>
  <c r="R40" i="6"/>
  <c r="AO23" i="6"/>
  <c r="AP23" i="6"/>
  <c r="AM23" i="6"/>
  <c r="AN23" i="6"/>
  <c r="AH23" i="6"/>
  <c r="AI23" i="6"/>
  <c r="AF23" i="6"/>
  <c r="AG23" i="6"/>
  <c r="Y23" i="6"/>
  <c r="Z23" i="6"/>
  <c r="AB23" i="6"/>
  <c r="AA23" i="6"/>
  <c r="U23" i="6"/>
  <c r="R23" i="6"/>
  <c r="S23" i="6"/>
  <c r="T23" i="6"/>
  <c r="AJ114" i="6" l="1"/>
  <c r="AF114" i="6"/>
  <c r="AG114" i="6"/>
  <c r="AH114" i="6"/>
  <c r="AI114" i="6"/>
  <c r="AM114" i="6"/>
  <c r="AN114" i="6"/>
  <c r="AO114" i="6"/>
  <c r="AP114" i="6"/>
  <c r="Z114" i="6"/>
  <c r="AA114" i="6"/>
  <c r="AB114" i="6"/>
  <c r="R114" i="6"/>
  <c r="S114" i="6"/>
  <c r="T114" i="6"/>
  <c r="U114" i="6"/>
  <c r="Y114" i="6"/>
  <c r="AF97" i="6"/>
  <c r="AG97" i="6"/>
  <c r="AH97" i="6"/>
  <c r="AI97" i="6"/>
  <c r="AM97" i="6"/>
  <c r="AN97" i="6"/>
  <c r="AO97" i="6"/>
  <c r="AP97" i="6"/>
  <c r="R97" i="6"/>
  <c r="S97" i="6"/>
  <c r="T97" i="6"/>
  <c r="U97" i="6"/>
  <c r="Y97" i="6"/>
  <c r="Z97" i="6"/>
  <c r="AA97" i="6"/>
  <c r="AB97" i="6"/>
  <c r="AN13" i="5"/>
  <c r="AM60" i="6"/>
  <c r="AN60" i="6"/>
  <c r="AO60" i="6"/>
  <c r="AP60" i="6"/>
  <c r="R60" i="6"/>
  <c r="S60" i="6"/>
  <c r="T60" i="6"/>
  <c r="U60" i="6"/>
  <c r="Y60" i="6"/>
  <c r="Z60" i="6"/>
  <c r="AA60" i="6"/>
  <c r="AB60" i="6"/>
  <c r="AF60" i="6"/>
  <c r="AG60" i="6"/>
  <c r="AH60" i="6"/>
  <c r="AI60" i="6"/>
  <c r="AP151" i="6"/>
  <c r="AO151" i="6"/>
  <c r="AN151" i="6"/>
  <c r="AM151" i="6"/>
  <c r="AI151" i="6"/>
  <c r="AH151" i="6"/>
  <c r="AG151" i="6"/>
  <c r="AF151" i="6"/>
  <c r="AB151" i="6"/>
  <c r="AA151" i="6"/>
  <c r="Z151" i="6"/>
  <c r="Y151" i="6"/>
  <c r="AP134" i="6"/>
  <c r="AO134" i="6"/>
  <c r="AN134" i="6"/>
  <c r="AM134" i="6"/>
  <c r="AI134" i="6"/>
  <c r="AH134" i="6"/>
  <c r="AG134" i="6"/>
  <c r="AF134" i="6"/>
  <c r="AB134" i="6"/>
  <c r="AA134" i="6"/>
  <c r="Z134" i="6"/>
  <c r="Y134" i="6"/>
  <c r="S151" i="6"/>
  <c r="T151" i="6"/>
  <c r="U151" i="6"/>
  <c r="R151" i="6"/>
  <c r="S134" i="6"/>
  <c r="T134" i="6"/>
  <c r="U134" i="6"/>
  <c r="R134" i="6"/>
  <c r="S22" i="6" l="1"/>
  <c r="T22" i="6"/>
  <c r="U22" i="6"/>
  <c r="R22" i="6"/>
  <c r="AP152" i="6"/>
  <c r="AO152" i="6"/>
  <c r="AN152" i="6"/>
  <c r="AM152" i="6"/>
  <c r="AP113" i="6"/>
  <c r="AO113" i="6"/>
  <c r="AN113" i="6"/>
  <c r="AM113" i="6"/>
  <c r="AI113" i="6"/>
  <c r="AH113" i="6"/>
  <c r="AG113" i="6"/>
  <c r="AF113" i="6"/>
  <c r="AB113" i="6"/>
  <c r="AA113" i="6"/>
  <c r="Z113" i="6"/>
  <c r="Y113" i="6"/>
  <c r="U113" i="6"/>
  <c r="T113" i="6"/>
  <c r="S113" i="6"/>
  <c r="R113" i="6"/>
  <c r="AP96" i="6"/>
  <c r="AO96" i="6"/>
  <c r="AN96" i="6"/>
  <c r="AM96" i="6"/>
  <c r="AI96" i="6"/>
  <c r="AH96" i="6"/>
  <c r="AG96" i="6"/>
  <c r="AF96" i="6"/>
  <c r="AB96" i="6"/>
  <c r="AA96" i="6"/>
  <c r="Z96" i="6"/>
  <c r="Y96" i="6"/>
  <c r="U96" i="6"/>
  <c r="T96" i="6"/>
  <c r="S96" i="6"/>
  <c r="R96" i="6"/>
  <c r="AP77" i="6"/>
  <c r="AO77" i="6"/>
  <c r="AN77" i="6"/>
  <c r="AM77" i="6"/>
  <c r="AI77" i="6"/>
  <c r="AH77" i="6"/>
  <c r="AG77" i="6"/>
  <c r="AF77" i="6"/>
  <c r="AB77" i="6"/>
  <c r="AA77" i="6"/>
  <c r="Z77" i="6"/>
  <c r="Y77" i="6"/>
  <c r="U77" i="6"/>
  <c r="T77" i="6"/>
  <c r="S77" i="6"/>
  <c r="R77" i="6"/>
  <c r="AP76" i="6"/>
  <c r="AO76" i="6"/>
  <c r="AN76" i="6"/>
  <c r="AM76" i="6"/>
  <c r="AI76" i="6"/>
  <c r="AH76" i="6"/>
  <c r="AG76" i="6"/>
  <c r="AF76" i="6"/>
  <c r="AB76" i="6"/>
  <c r="AA76" i="6"/>
  <c r="Z76" i="6"/>
  <c r="Y76" i="6"/>
  <c r="U76" i="6"/>
  <c r="T76" i="6"/>
  <c r="S76" i="6"/>
  <c r="R76" i="6"/>
  <c r="AP59" i="6"/>
  <c r="AO59" i="6"/>
  <c r="AN59" i="6"/>
  <c r="AM59" i="6"/>
  <c r="AI59" i="6"/>
  <c r="AH59" i="6"/>
  <c r="AG59" i="6"/>
  <c r="AF59" i="6"/>
  <c r="AB59" i="6"/>
  <c r="AA59" i="6"/>
  <c r="Z59" i="6"/>
  <c r="Y59" i="6"/>
  <c r="U59" i="6"/>
  <c r="T59" i="6"/>
  <c r="S59" i="6"/>
  <c r="R59" i="6"/>
  <c r="E7" i="6"/>
  <c r="C7" i="6"/>
  <c r="E4" i="6"/>
  <c r="BQ239" i="8" l="1"/>
  <c r="BE239" i="8"/>
  <c r="AX239" i="8"/>
  <c r="AW239" i="8"/>
  <c r="AU239" i="8"/>
  <c r="AT239" i="8"/>
  <c r="AS239" i="8"/>
  <c r="AR239" i="8"/>
  <c r="AQ239" i="8"/>
  <c r="AP239" i="8"/>
  <c r="AO239" i="8"/>
  <c r="AN239" i="8"/>
  <c r="AM239" i="8"/>
  <c r="AL239" i="8"/>
  <c r="AV239" i="8" l="1"/>
  <c r="BE56" i="8"/>
  <c r="BE57" i="8"/>
  <c r="AO56" i="8"/>
  <c r="AP56" i="8"/>
  <c r="AQ56" i="8"/>
  <c r="AR56" i="8"/>
  <c r="AS56" i="8"/>
  <c r="AT56" i="8"/>
  <c r="AU56" i="8"/>
  <c r="AW56" i="8"/>
  <c r="AX56" i="8"/>
  <c r="AO57" i="8"/>
  <c r="AP57" i="8"/>
  <c r="AQ57" i="8"/>
  <c r="AR57" i="8"/>
  <c r="AS57" i="8"/>
  <c r="AT57" i="8"/>
  <c r="AU57" i="8"/>
  <c r="AW57" i="8"/>
  <c r="AX57" i="8"/>
  <c r="AN56" i="8"/>
  <c r="AN57" i="8"/>
  <c r="AM56" i="8"/>
  <c r="BP56" i="8" s="1"/>
  <c r="AM57" i="8"/>
  <c r="BP57" i="8" s="1"/>
  <c r="AL56" i="8"/>
  <c r="AL57" i="8"/>
  <c r="AV57" i="8" l="1"/>
  <c r="AV56" i="8"/>
  <c r="BQ57" i="8"/>
  <c r="BQ56" i="8"/>
  <c r="BQ90" i="8"/>
  <c r="BQ91" i="8"/>
  <c r="BE90" i="8"/>
  <c r="BE91" i="8"/>
  <c r="AO90" i="8"/>
  <c r="AP90" i="8"/>
  <c r="AQ90" i="8"/>
  <c r="AR90" i="8"/>
  <c r="AS90" i="8"/>
  <c r="AT90" i="8"/>
  <c r="AU90" i="8"/>
  <c r="AW90" i="8"/>
  <c r="AX90" i="8"/>
  <c r="AO91" i="8"/>
  <c r="AP91" i="8"/>
  <c r="AQ91" i="8"/>
  <c r="AR91" i="8"/>
  <c r="AS91" i="8"/>
  <c r="AT91" i="8"/>
  <c r="AU91" i="8"/>
  <c r="AW91" i="8"/>
  <c r="AX91" i="8"/>
  <c r="AN90" i="8"/>
  <c r="AN91" i="8"/>
  <c r="AM90" i="8"/>
  <c r="AM91" i="8"/>
  <c r="AL90" i="8"/>
  <c r="AL91" i="8"/>
  <c r="AV91" i="8" l="1"/>
  <c r="AV90" i="8"/>
  <c r="BE222" i="8"/>
  <c r="AV222" i="8" s="1"/>
  <c r="BE214" i="8"/>
  <c r="AX214" i="8"/>
  <c r="AW214" i="8"/>
  <c r="AU214" i="8"/>
  <c r="AT214" i="8"/>
  <c r="AS214" i="8"/>
  <c r="AR214" i="8"/>
  <c r="AQ214" i="8"/>
  <c r="AP214" i="8"/>
  <c r="AO214" i="8"/>
  <c r="AN214" i="8"/>
  <c r="AM214" i="8"/>
  <c r="BP214" i="8" s="1"/>
  <c r="AL214" i="8"/>
  <c r="AV214" i="8" l="1"/>
  <c r="BQ214" i="8"/>
  <c r="BQ222" i="8"/>
  <c r="BQ249" i="8"/>
  <c r="BE249" i="8"/>
  <c r="AX249" i="8"/>
  <c r="AW249" i="8"/>
  <c r="AU249" i="8"/>
  <c r="AT249" i="8"/>
  <c r="AS249" i="8"/>
  <c r="AR249" i="8"/>
  <c r="AQ249" i="8"/>
  <c r="AP249" i="8"/>
  <c r="AO249" i="8"/>
  <c r="AN249" i="8"/>
  <c r="AM249" i="8"/>
  <c r="AL249" i="8"/>
  <c r="BQ248" i="8"/>
  <c r="BE248" i="8"/>
  <c r="AX248" i="8"/>
  <c r="AW248" i="8"/>
  <c r="AU248" i="8"/>
  <c r="AT248" i="8"/>
  <c r="AS248" i="8"/>
  <c r="AR248" i="8"/>
  <c r="AQ248" i="8"/>
  <c r="AP248" i="8"/>
  <c r="AO248" i="8"/>
  <c r="AN248" i="8"/>
  <c r="AM248" i="8"/>
  <c r="AL248" i="8"/>
  <c r="AV249" i="8" l="1"/>
  <c r="AV248" i="8"/>
  <c r="BQ169" i="8"/>
  <c r="BE169" i="8"/>
  <c r="AX169" i="8"/>
  <c r="AW169" i="8"/>
  <c r="AU169" i="8"/>
  <c r="AT169" i="8"/>
  <c r="AS169" i="8"/>
  <c r="AR169" i="8"/>
  <c r="AQ169" i="8"/>
  <c r="AP169" i="8"/>
  <c r="AO169" i="8"/>
  <c r="AN169" i="8"/>
  <c r="AM169" i="8"/>
  <c r="AL169" i="8"/>
  <c r="BE49" i="8"/>
  <c r="BE48" i="8"/>
  <c r="AO48" i="8"/>
  <c r="AP48" i="8"/>
  <c r="AQ48" i="8"/>
  <c r="AR48" i="8"/>
  <c r="AS48" i="8"/>
  <c r="AT48" i="8"/>
  <c r="AU48" i="8"/>
  <c r="AW48" i="8"/>
  <c r="AX48" i="8"/>
  <c r="AO49" i="8"/>
  <c r="AP49" i="8"/>
  <c r="AQ49" i="8"/>
  <c r="AR49" i="8"/>
  <c r="AS49" i="8"/>
  <c r="AT49" i="8"/>
  <c r="AU49" i="8"/>
  <c r="AW49" i="8"/>
  <c r="AX49" i="8"/>
  <c r="AN48" i="8"/>
  <c r="AN49" i="8"/>
  <c r="AM48" i="8"/>
  <c r="BP48" i="8" s="1"/>
  <c r="AM49" i="8"/>
  <c r="BP49" i="8" s="1"/>
  <c r="AL48" i="8"/>
  <c r="AL49" i="8"/>
  <c r="AV48" i="8" l="1"/>
  <c r="AV169" i="8"/>
  <c r="AV49" i="8"/>
  <c r="BQ48" i="8"/>
  <c r="BQ49" i="8"/>
  <c r="BQ242" i="8"/>
  <c r="BE242" i="8"/>
  <c r="AX242" i="8"/>
  <c r="AW242" i="8"/>
  <c r="AU242" i="8"/>
  <c r="AT242" i="8"/>
  <c r="AS242" i="8"/>
  <c r="AR242" i="8"/>
  <c r="AQ242" i="8"/>
  <c r="AP242" i="8"/>
  <c r="AO242" i="8"/>
  <c r="AN242" i="8"/>
  <c r="AM242" i="8"/>
  <c r="AL242" i="8"/>
  <c r="AV242" i="8" l="1"/>
  <c r="BQ247" i="8"/>
  <c r="BE247" i="8"/>
  <c r="AX247" i="8"/>
  <c r="AW247" i="8"/>
  <c r="AU247" i="8"/>
  <c r="AT247" i="8"/>
  <c r="AS247" i="8"/>
  <c r="AR247" i="8"/>
  <c r="AQ247" i="8"/>
  <c r="AP247" i="8"/>
  <c r="AO247" i="8"/>
  <c r="AN247" i="8"/>
  <c r="AM247" i="8"/>
  <c r="AL247" i="8"/>
  <c r="AV247" i="8" l="1"/>
  <c r="BQ246" i="8"/>
  <c r="BE246" i="8"/>
  <c r="AX246" i="8"/>
  <c r="AW246" i="8"/>
  <c r="AU246" i="8"/>
  <c r="AT246" i="8"/>
  <c r="AS246" i="8"/>
  <c r="AR246" i="8"/>
  <c r="AQ246" i="8"/>
  <c r="AP246" i="8"/>
  <c r="AO246" i="8"/>
  <c r="AN246" i="8"/>
  <c r="AM246" i="8"/>
  <c r="AL246" i="8"/>
  <c r="AV246" i="8" l="1"/>
  <c r="BQ244" i="8"/>
  <c r="BE244" i="8"/>
  <c r="AX244" i="8"/>
  <c r="AW244" i="8"/>
  <c r="AU244" i="8"/>
  <c r="AT244" i="8"/>
  <c r="AS244" i="8"/>
  <c r="AR244" i="8"/>
  <c r="AQ244" i="8"/>
  <c r="AP244" i="8"/>
  <c r="AO244" i="8"/>
  <c r="AN244" i="8"/>
  <c r="AM244" i="8"/>
  <c r="AL244" i="8"/>
  <c r="AV244" i="8" l="1"/>
  <c r="BE62" i="8"/>
  <c r="BE63" i="8"/>
  <c r="AN62" i="8"/>
  <c r="AO62" i="8"/>
  <c r="AP62" i="8"/>
  <c r="AQ62" i="8"/>
  <c r="AR62" i="8"/>
  <c r="AS62" i="8"/>
  <c r="AT62" i="8"/>
  <c r="AU62" i="8"/>
  <c r="AW62" i="8"/>
  <c r="AX62" i="8"/>
  <c r="AN63" i="8"/>
  <c r="AO63" i="8"/>
  <c r="AP63" i="8"/>
  <c r="AQ63" i="8"/>
  <c r="AR63" i="8"/>
  <c r="AS63" i="8"/>
  <c r="AT63" i="8"/>
  <c r="AU63" i="8"/>
  <c r="AW63" i="8"/>
  <c r="AX63" i="8"/>
  <c r="AL62" i="8"/>
  <c r="AL63" i="8"/>
  <c r="AM63" i="8"/>
  <c r="BP63" i="8" s="1"/>
  <c r="AM62" i="8"/>
  <c r="BP62" i="8" s="1"/>
  <c r="AV63" i="8" l="1"/>
  <c r="AV62" i="8"/>
  <c r="BQ63" i="8"/>
  <c r="BQ62" i="8"/>
  <c r="BG77" i="5" l="1"/>
  <c r="BG13" i="5"/>
  <c r="BG35" i="5"/>
  <c r="AX44" i="5" l="1"/>
  <c r="AM4" i="8" l="1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4" i="8"/>
  <c r="AM36" i="8"/>
  <c r="AM38" i="8"/>
  <c r="AM50" i="8"/>
  <c r="BP50" i="8" s="1"/>
  <c r="AM51" i="8"/>
  <c r="BP51" i="8" s="1"/>
  <c r="AM52" i="8"/>
  <c r="BP52" i="8" s="1"/>
  <c r="AM53" i="8"/>
  <c r="BP53" i="8" s="1"/>
  <c r="AM54" i="8"/>
  <c r="BP54" i="8" s="1"/>
  <c r="AM55" i="8"/>
  <c r="BP55" i="8" s="1"/>
  <c r="AM58" i="8"/>
  <c r="BP58" i="8" s="1"/>
  <c r="AM59" i="8"/>
  <c r="BP59" i="8" s="1"/>
  <c r="AM60" i="8"/>
  <c r="BP60" i="8" s="1"/>
  <c r="AM61" i="8"/>
  <c r="BP61" i="8" s="1"/>
  <c r="AM64" i="8"/>
  <c r="BP64" i="8" s="1"/>
  <c r="AM65" i="8"/>
  <c r="BP65" i="8" s="1"/>
  <c r="AM66" i="8"/>
  <c r="BP66" i="8" s="1"/>
  <c r="AM67" i="8"/>
  <c r="AM68" i="8"/>
  <c r="AM69" i="8"/>
  <c r="AM70" i="8"/>
  <c r="BP70" i="8" s="1"/>
  <c r="AM71" i="8"/>
  <c r="BP71" i="8" s="1"/>
  <c r="BQ50" i="8" l="1"/>
  <c r="BQ137" i="8"/>
  <c r="BQ138" i="8"/>
  <c r="BQ139" i="8"/>
  <c r="BE137" i="8"/>
  <c r="BE138" i="8"/>
  <c r="BE139" i="8"/>
  <c r="AW137" i="8"/>
  <c r="AX137" i="8"/>
  <c r="AW138" i="8"/>
  <c r="AX138" i="8"/>
  <c r="AW139" i="8"/>
  <c r="AX139" i="8"/>
  <c r="AS137" i="8"/>
  <c r="AT137" i="8"/>
  <c r="AU137" i="8"/>
  <c r="AS138" i="8"/>
  <c r="AT138" i="8"/>
  <c r="AU138" i="8"/>
  <c r="AS139" i="8"/>
  <c r="AT139" i="8"/>
  <c r="AU139" i="8"/>
  <c r="AP137" i="8"/>
  <c r="AQ137" i="8"/>
  <c r="AR137" i="8"/>
  <c r="AP138" i="8"/>
  <c r="AQ138" i="8"/>
  <c r="AR138" i="8"/>
  <c r="AP139" i="8"/>
  <c r="AQ139" i="8"/>
  <c r="AR139" i="8"/>
  <c r="AO137" i="8"/>
  <c r="AO138" i="8"/>
  <c r="AO139" i="8"/>
  <c r="AN137" i="8"/>
  <c r="AN138" i="8"/>
  <c r="AN139" i="8"/>
  <c r="AM137" i="8"/>
  <c r="AM138" i="8"/>
  <c r="AM139" i="8"/>
  <c r="AL137" i="8"/>
  <c r="AL138" i="8"/>
  <c r="AL139" i="8"/>
  <c r="AV139" i="8" l="1"/>
  <c r="AV138" i="8"/>
  <c r="AV137" i="8"/>
  <c r="BQ131" i="8"/>
  <c r="BQ132" i="8"/>
  <c r="AX131" i="8"/>
  <c r="AX132" i="8"/>
  <c r="AW131" i="8"/>
  <c r="AW132" i="8"/>
  <c r="BE131" i="8"/>
  <c r="BE132" i="8"/>
  <c r="AU131" i="8"/>
  <c r="AU132" i="8"/>
  <c r="AU134" i="8"/>
  <c r="AT131" i="8"/>
  <c r="AT132" i="8"/>
  <c r="AS131" i="8"/>
  <c r="AS132" i="8"/>
  <c r="AR131" i="8"/>
  <c r="AR132" i="8"/>
  <c r="AQ131" i="8"/>
  <c r="AQ132" i="8"/>
  <c r="AP131" i="8"/>
  <c r="AP132" i="8"/>
  <c r="AO131" i="8"/>
  <c r="AO132" i="8"/>
  <c r="AN131" i="8"/>
  <c r="AN132" i="8"/>
  <c r="AM131" i="8"/>
  <c r="AM132" i="8"/>
  <c r="AL131" i="8"/>
  <c r="AL132" i="8"/>
  <c r="AV132" i="8" l="1"/>
  <c r="AV131" i="8"/>
  <c r="BQ251" i="8"/>
  <c r="BE251" i="8"/>
  <c r="AX251" i="8"/>
  <c r="AW251" i="8"/>
  <c r="AU251" i="8"/>
  <c r="AT251" i="8"/>
  <c r="AS251" i="8"/>
  <c r="AR251" i="8"/>
  <c r="AQ251" i="8"/>
  <c r="AP251" i="8"/>
  <c r="AO251" i="8"/>
  <c r="AN251" i="8"/>
  <c r="AM251" i="8"/>
  <c r="AL251" i="8"/>
  <c r="AV251" i="8" l="1"/>
  <c r="BQ5" i="8"/>
  <c r="BQ6" i="8"/>
  <c r="BQ7" i="8"/>
  <c r="BQ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4" i="8"/>
  <c r="BQ36" i="8"/>
  <c r="BQ38" i="8"/>
  <c r="BQ67" i="8"/>
  <c r="BQ68" i="8"/>
  <c r="BQ69" i="8"/>
  <c r="BQ72" i="8"/>
  <c r="BQ73" i="8"/>
  <c r="BQ74" i="8"/>
  <c r="BQ75" i="8"/>
  <c r="BQ76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2" i="8"/>
  <c r="BQ93" i="8"/>
  <c r="BQ94" i="8"/>
  <c r="BQ99" i="8"/>
  <c r="BQ100" i="8"/>
  <c r="BQ110" i="8"/>
  <c r="BQ111" i="8"/>
  <c r="BQ112" i="8"/>
  <c r="BQ113" i="8"/>
  <c r="BQ118" i="8"/>
  <c r="BQ119" i="8"/>
  <c r="BQ120" i="8"/>
  <c r="BQ121" i="8"/>
  <c r="BQ122" i="8"/>
  <c r="BQ123" i="8"/>
  <c r="BQ124" i="8"/>
  <c r="BQ125" i="8"/>
  <c r="BQ126" i="8"/>
  <c r="BQ127" i="8"/>
  <c r="BQ128" i="8"/>
  <c r="BQ129" i="8"/>
  <c r="BQ130" i="8"/>
  <c r="BQ134" i="8"/>
  <c r="BQ133" i="8"/>
  <c r="BQ135" i="8"/>
  <c r="BQ136" i="8"/>
  <c r="BQ140" i="8"/>
  <c r="BQ141" i="8"/>
  <c r="BQ142" i="8"/>
  <c r="BQ143" i="8"/>
  <c r="BQ144" i="8"/>
  <c r="BQ145" i="8"/>
  <c r="BQ146" i="8"/>
  <c r="BQ147" i="8"/>
  <c r="BQ148" i="8"/>
  <c r="BQ149" i="8"/>
  <c r="BQ150" i="8"/>
  <c r="BQ151" i="8"/>
  <c r="BQ152" i="8"/>
  <c r="BQ153" i="8"/>
  <c r="BQ154" i="8"/>
  <c r="BQ155" i="8"/>
  <c r="BQ156" i="8"/>
  <c r="BQ157" i="8"/>
  <c r="BQ158" i="8"/>
  <c r="BQ159" i="8"/>
  <c r="BQ160" i="8"/>
  <c r="BQ161" i="8"/>
  <c r="BQ162" i="8"/>
  <c r="BQ163" i="8"/>
  <c r="BQ164" i="8"/>
  <c r="BQ165" i="8"/>
  <c r="BQ166" i="8"/>
  <c r="BQ167" i="8"/>
  <c r="BQ168" i="8"/>
  <c r="BQ245" i="8"/>
  <c r="BQ170" i="8"/>
  <c r="BQ171" i="8"/>
  <c r="BQ172" i="8"/>
  <c r="BQ173" i="8"/>
  <c r="BQ175" i="8"/>
  <c r="BQ176" i="8"/>
  <c r="BQ178" i="8"/>
  <c r="BQ179" i="8"/>
  <c r="BQ180" i="8"/>
  <c r="BQ181" i="8"/>
  <c r="BQ182" i="8"/>
  <c r="BQ183" i="8"/>
  <c r="BQ184" i="8"/>
  <c r="BQ187" i="8"/>
  <c r="BQ188" i="8"/>
  <c r="BQ189" i="8"/>
  <c r="BQ190" i="8"/>
  <c r="BQ191" i="8"/>
  <c r="BQ192" i="8"/>
  <c r="BQ197" i="8"/>
  <c r="BQ198" i="8"/>
  <c r="BQ199" i="8"/>
  <c r="BQ200" i="8"/>
  <c r="BQ201" i="8"/>
  <c r="BQ206" i="8"/>
  <c r="BQ4" i="8"/>
  <c r="C2" i="7" l="1"/>
  <c r="AO212" i="8" l="1"/>
  <c r="AP212" i="8"/>
  <c r="AQ212" i="8"/>
  <c r="AR212" i="8"/>
  <c r="AS212" i="8"/>
  <c r="AT212" i="8"/>
  <c r="AU212" i="8"/>
  <c r="AW212" i="8"/>
  <c r="AX212" i="8"/>
  <c r="BE212" i="8"/>
  <c r="AN212" i="8"/>
  <c r="AM212" i="8"/>
  <c r="BP212" i="8" s="1"/>
  <c r="AL212" i="8"/>
  <c r="AV212" i="8" l="1"/>
  <c r="BQ212" i="8"/>
  <c r="BJ8" i="5"/>
  <c r="BE201" i="8" l="1"/>
  <c r="AX5" i="8" l="1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4" i="8"/>
  <c r="AX36" i="8"/>
  <c r="AX38" i="8"/>
  <c r="AX50" i="8"/>
  <c r="AX51" i="8"/>
  <c r="AX52" i="8"/>
  <c r="AX53" i="8"/>
  <c r="AX54" i="8"/>
  <c r="AX55" i="8"/>
  <c r="AX58" i="8"/>
  <c r="AX59" i="8"/>
  <c r="AX60" i="8"/>
  <c r="AX61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2" i="8"/>
  <c r="AX93" i="8"/>
  <c r="AX94" i="8"/>
  <c r="AX98" i="8"/>
  <c r="AX99" i="8"/>
  <c r="AX100" i="8"/>
  <c r="AX104" i="8"/>
  <c r="AX106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4" i="8"/>
  <c r="AX133" i="8"/>
  <c r="AX135" i="8"/>
  <c r="AX136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245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7" i="8"/>
  <c r="AX188" i="8"/>
  <c r="AX189" i="8"/>
  <c r="AX190" i="8"/>
  <c r="AX191" i="8"/>
  <c r="AX192" i="8"/>
  <c r="AX193" i="8"/>
  <c r="AX194" i="8"/>
  <c r="AX197" i="8"/>
  <c r="AX198" i="8"/>
  <c r="AX199" i="8"/>
  <c r="AX200" i="8"/>
  <c r="AX201" i="8"/>
  <c r="AX203" i="8"/>
  <c r="AX204" i="8"/>
  <c r="AX206" i="8"/>
  <c r="AX207" i="8"/>
  <c r="AX208" i="8"/>
  <c r="AX209" i="8"/>
  <c r="AX210" i="8"/>
  <c r="AX211" i="8"/>
  <c r="AX213" i="8"/>
  <c r="AX223" i="8"/>
  <c r="AX224" i="8"/>
  <c r="AX225" i="8"/>
  <c r="AX226" i="8"/>
  <c r="AX227" i="8"/>
  <c r="AX228" i="8"/>
  <c r="AX229" i="8"/>
  <c r="AX230" i="8"/>
  <c r="AX231" i="8"/>
  <c r="AX232" i="8"/>
  <c r="AX233" i="8"/>
  <c r="AX234" i="8"/>
  <c r="AX235" i="8"/>
  <c r="AX236" i="8"/>
  <c r="AX237" i="8"/>
  <c r="AX4" i="8"/>
  <c r="BD1" i="8" s="1"/>
  <c r="BE144" i="8" l="1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0" i="8"/>
  <c r="BE161" i="8"/>
  <c r="BE162" i="8"/>
  <c r="AN144" i="8"/>
  <c r="AO144" i="8"/>
  <c r="AP144" i="8"/>
  <c r="AQ144" i="8"/>
  <c r="AR144" i="8"/>
  <c r="AS144" i="8"/>
  <c r="AT144" i="8"/>
  <c r="AU144" i="8"/>
  <c r="AW144" i="8"/>
  <c r="AN145" i="8"/>
  <c r="AO145" i="8"/>
  <c r="AP145" i="8"/>
  <c r="AQ145" i="8"/>
  <c r="AR145" i="8"/>
  <c r="AS145" i="8"/>
  <c r="AT145" i="8"/>
  <c r="AU145" i="8"/>
  <c r="AW145" i="8"/>
  <c r="AN146" i="8"/>
  <c r="AO146" i="8"/>
  <c r="AP146" i="8"/>
  <c r="AQ146" i="8"/>
  <c r="AR146" i="8"/>
  <c r="AS146" i="8"/>
  <c r="AT146" i="8"/>
  <c r="AU146" i="8"/>
  <c r="AW146" i="8"/>
  <c r="AN147" i="8"/>
  <c r="AO147" i="8"/>
  <c r="AP147" i="8"/>
  <c r="AQ147" i="8"/>
  <c r="AR147" i="8"/>
  <c r="AS147" i="8"/>
  <c r="AT147" i="8"/>
  <c r="AU147" i="8"/>
  <c r="AW147" i="8"/>
  <c r="AN148" i="8"/>
  <c r="AO148" i="8"/>
  <c r="AP148" i="8"/>
  <c r="AQ148" i="8"/>
  <c r="AR148" i="8"/>
  <c r="AS148" i="8"/>
  <c r="AT148" i="8"/>
  <c r="AU148" i="8"/>
  <c r="AW148" i="8"/>
  <c r="AN149" i="8"/>
  <c r="AO149" i="8"/>
  <c r="AP149" i="8"/>
  <c r="AQ149" i="8"/>
  <c r="AR149" i="8"/>
  <c r="AS149" i="8"/>
  <c r="AT149" i="8"/>
  <c r="AU149" i="8"/>
  <c r="AW149" i="8"/>
  <c r="AN150" i="8"/>
  <c r="AO150" i="8"/>
  <c r="AP150" i="8"/>
  <c r="AQ150" i="8"/>
  <c r="AR150" i="8"/>
  <c r="AS150" i="8"/>
  <c r="AT150" i="8"/>
  <c r="AU150" i="8"/>
  <c r="AW150" i="8"/>
  <c r="AN151" i="8"/>
  <c r="AO151" i="8"/>
  <c r="AP151" i="8"/>
  <c r="AQ151" i="8"/>
  <c r="AR151" i="8"/>
  <c r="AS151" i="8"/>
  <c r="AT151" i="8"/>
  <c r="AU151" i="8"/>
  <c r="AW151" i="8"/>
  <c r="AN152" i="8"/>
  <c r="AO152" i="8"/>
  <c r="AP152" i="8"/>
  <c r="AQ152" i="8"/>
  <c r="AR152" i="8"/>
  <c r="AS152" i="8"/>
  <c r="AT152" i="8"/>
  <c r="AU152" i="8"/>
  <c r="AW152" i="8"/>
  <c r="AN153" i="8"/>
  <c r="AO153" i="8"/>
  <c r="AP153" i="8"/>
  <c r="AQ153" i="8"/>
  <c r="AR153" i="8"/>
  <c r="AS153" i="8"/>
  <c r="AT153" i="8"/>
  <c r="AU153" i="8"/>
  <c r="AW153" i="8"/>
  <c r="AN154" i="8"/>
  <c r="AO154" i="8"/>
  <c r="AP154" i="8"/>
  <c r="AQ154" i="8"/>
  <c r="AR154" i="8"/>
  <c r="AS154" i="8"/>
  <c r="AT154" i="8"/>
  <c r="AU154" i="8"/>
  <c r="AW154" i="8"/>
  <c r="AN155" i="8"/>
  <c r="AO155" i="8"/>
  <c r="AP155" i="8"/>
  <c r="AQ155" i="8"/>
  <c r="AR155" i="8"/>
  <c r="AS155" i="8"/>
  <c r="AT155" i="8"/>
  <c r="AU155" i="8"/>
  <c r="AW155" i="8"/>
  <c r="AN156" i="8"/>
  <c r="AO156" i="8"/>
  <c r="AP156" i="8"/>
  <c r="AQ156" i="8"/>
  <c r="AR156" i="8"/>
  <c r="AS156" i="8"/>
  <c r="AT156" i="8"/>
  <c r="AU156" i="8"/>
  <c r="AW156" i="8"/>
  <c r="AN157" i="8"/>
  <c r="AO157" i="8"/>
  <c r="AP157" i="8"/>
  <c r="AQ157" i="8"/>
  <c r="AR157" i="8"/>
  <c r="AS157" i="8"/>
  <c r="AT157" i="8"/>
  <c r="AU157" i="8"/>
  <c r="AW157" i="8"/>
  <c r="AN158" i="8"/>
  <c r="AO158" i="8"/>
  <c r="AP158" i="8"/>
  <c r="AQ158" i="8"/>
  <c r="AR158" i="8"/>
  <c r="AS158" i="8"/>
  <c r="AT158" i="8"/>
  <c r="AU158" i="8"/>
  <c r="AW158" i="8"/>
  <c r="AN159" i="8"/>
  <c r="AO159" i="8"/>
  <c r="AP159" i="8"/>
  <c r="AQ159" i="8"/>
  <c r="AR159" i="8"/>
  <c r="AS159" i="8"/>
  <c r="AT159" i="8"/>
  <c r="AU159" i="8"/>
  <c r="AW159" i="8"/>
  <c r="AN160" i="8"/>
  <c r="AO160" i="8"/>
  <c r="AP160" i="8"/>
  <c r="AQ160" i="8"/>
  <c r="AR160" i="8"/>
  <c r="AS160" i="8"/>
  <c r="AT160" i="8"/>
  <c r="AU160" i="8"/>
  <c r="AW160" i="8"/>
  <c r="AN161" i="8"/>
  <c r="AO161" i="8"/>
  <c r="AP161" i="8"/>
  <c r="AQ161" i="8"/>
  <c r="AR161" i="8"/>
  <c r="AS161" i="8"/>
  <c r="AT161" i="8"/>
  <c r="AU161" i="8"/>
  <c r="AW161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V159" i="8" l="1"/>
  <c r="AV155" i="8"/>
  <c r="AV151" i="8"/>
  <c r="AV147" i="8"/>
  <c r="AV158" i="8"/>
  <c r="AV154" i="8"/>
  <c r="AV150" i="8"/>
  <c r="AV146" i="8"/>
  <c r="AV161" i="8"/>
  <c r="AV157" i="8"/>
  <c r="AV153" i="8"/>
  <c r="AV149" i="8"/>
  <c r="AV145" i="8"/>
  <c r="AV160" i="8"/>
  <c r="AV156" i="8"/>
  <c r="AV152" i="8"/>
  <c r="AV148" i="8"/>
  <c r="AV144" i="8"/>
  <c r="AL20" i="8"/>
  <c r="AN20" i="8"/>
  <c r="AO20" i="8"/>
  <c r="AP20" i="8"/>
  <c r="AQ20" i="8"/>
  <c r="AR20" i="8"/>
  <c r="AS20" i="8"/>
  <c r="AT20" i="8"/>
  <c r="AU20" i="8"/>
  <c r="AW20" i="8"/>
  <c r="BE20" i="8"/>
  <c r="AL21" i="8"/>
  <c r="AN21" i="8"/>
  <c r="AO21" i="8"/>
  <c r="AP21" i="8"/>
  <c r="AQ21" i="8"/>
  <c r="AR21" i="8"/>
  <c r="AS21" i="8"/>
  <c r="AT21" i="8"/>
  <c r="AU21" i="8"/>
  <c r="AW21" i="8"/>
  <c r="BE21" i="8"/>
  <c r="AL22" i="8"/>
  <c r="AN22" i="8"/>
  <c r="AO22" i="8"/>
  <c r="AP22" i="8"/>
  <c r="AQ22" i="8"/>
  <c r="AR22" i="8"/>
  <c r="AS22" i="8"/>
  <c r="AT22" i="8"/>
  <c r="AU22" i="8"/>
  <c r="AW22" i="8"/>
  <c r="BE22" i="8"/>
  <c r="AL23" i="8"/>
  <c r="AN23" i="8"/>
  <c r="AO23" i="8"/>
  <c r="AP23" i="8"/>
  <c r="AQ23" i="8"/>
  <c r="AR23" i="8"/>
  <c r="AS23" i="8"/>
  <c r="AT23" i="8"/>
  <c r="AU23" i="8"/>
  <c r="AW23" i="8"/>
  <c r="BE23" i="8"/>
  <c r="AL24" i="8"/>
  <c r="AN24" i="8"/>
  <c r="AO24" i="8"/>
  <c r="AP24" i="8"/>
  <c r="AQ24" i="8"/>
  <c r="AR24" i="8"/>
  <c r="AS24" i="8"/>
  <c r="AT24" i="8"/>
  <c r="AU24" i="8"/>
  <c r="AW24" i="8"/>
  <c r="BE24" i="8"/>
  <c r="AL25" i="8"/>
  <c r="AN25" i="8"/>
  <c r="AO25" i="8"/>
  <c r="AP25" i="8"/>
  <c r="AQ25" i="8"/>
  <c r="AR25" i="8"/>
  <c r="AS25" i="8"/>
  <c r="AT25" i="8"/>
  <c r="AU25" i="8"/>
  <c r="AW25" i="8"/>
  <c r="BE25" i="8"/>
  <c r="AL26" i="8"/>
  <c r="AN26" i="8"/>
  <c r="AO26" i="8"/>
  <c r="AP26" i="8"/>
  <c r="AQ26" i="8"/>
  <c r="AR26" i="8"/>
  <c r="AS26" i="8"/>
  <c r="AT26" i="8"/>
  <c r="AU26" i="8"/>
  <c r="AW26" i="8"/>
  <c r="BE26" i="8"/>
  <c r="AL27" i="8"/>
  <c r="AN27" i="8"/>
  <c r="AO27" i="8"/>
  <c r="AP27" i="8"/>
  <c r="AQ27" i="8"/>
  <c r="AR27" i="8"/>
  <c r="AS27" i="8"/>
  <c r="AT27" i="8"/>
  <c r="AU27" i="8"/>
  <c r="AW27" i="8"/>
  <c r="BE27" i="8"/>
  <c r="AL28" i="8"/>
  <c r="AN28" i="8"/>
  <c r="AO28" i="8"/>
  <c r="AP28" i="8"/>
  <c r="AQ28" i="8"/>
  <c r="AR28" i="8"/>
  <c r="AS28" i="8"/>
  <c r="AT28" i="8"/>
  <c r="AU28" i="8"/>
  <c r="AW28" i="8"/>
  <c r="BE28" i="8"/>
  <c r="AL29" i="8"/>
  <c r="AN29" i="8"/>
  <c r="AO29" i="8"/>
  <c r="AP29" i="8"/>
  <c r="AQ29" i="8"/>
  <c r="AR29" i="8"/>
  <c r="AS29" i="8"/>
  <c r="AT29" i="8"/>
  <c r="AU29" i="8"/>
  <c r="AW29" i="8"/>
  <c r="BE29" i="8"/>
  <c r="AL30" i="8"/>
  <c r="AN30" i="8"/>
  <c r="AO30" i="8"/>
  <c r="AP30" i="8"/>
  <c r="AQ30" i="8"/>
  <c r="AR30" i="8"/>
  <c r="AS30" i="8"/>
  <c r="AT30" i="8"/>
  <c r="AU30" i="8"/>
  <c r="AW30" i="8"/>
  <c r="BE30" i="8"/>
  <c r="AL31" i="8"/>
  <c r="AN31" i="8"/>
  <c r="AO31" i="8"/>
  <c r="AP31" i="8"/>
  <c r="AQ31" i="8"/>
  <c r="AR31" i="8"/>
  <c r="AS31" i="8"/>
  <c r="AT31" i="8"/>
  <c r="AU31" i="8"/>
  <c r="AW31" i="8"/>
  <c r="BE31" i="8"/>
  <c r="AV30" i="8" l="1"/>
  <c r="AV26" i="8"/>
  <c r="AV22" i="8"/>
  <c r="AV31" i="8"/>
  <c r="AV27" i="8"/>
  <c r="AV23" i="8"/>
  <c r="AV28" i="8"/>
  <c r="AV24" i="8"/>
  <c r="AV20" i="8"/>
  <c r="AV29" i="8"/>
  <c r="AV25" i="8"/>
  <c r="AV21" i="8"/>
  <c r="AB11" i="5"/>
  <c r="AL254" i="8" l="1"/>
  <c r="AM254" i="8"/>
  <c r="AL255" i="8"/>
  <c r="AM255" i="8"/>
  <c r="AL256" i="8"/>
  <c r="AM256" i="8"/>
  <c r="AL257" i="8"/>
  <c r="AM257" i="8"/>
  <c r="AL258" i="8"/>
  <c r="AM258" i="8"/>
  <c r="AL259" i="8"/>
  <c r="AM259" i="8"/>
  <c r="AL260" i="8"/>
  <c r="AM260" i="8"/>
  <c r="AL261" i="8"/>
  <c r="AM261" i="8"/>
  <c r="AL262" i="8"/>
  <c r="AM262" i="8"/>
  <c r="AL263" i="8"/>
  <c r="AM263" i="8"/>
  <c r="AL264" i="8"/>
  <c r="AM264" i="8"/>
  <c r="AL265" i="8"/>
  <c r="AM265" i="8"/>
  <c r="AL266" i="8"/>
  <c r="AM266" i="8"/>
  <c r="AL267" i="8"/>
  <c r="AM267" i="8"/>
  <c r="AL268" i="8"/>
  <c r="AM268" i="8"/>
  <c r="AL269" i="8"/>
  <c r="AM269" i="8"/>
  <c r="AL270" i="8"/>
  <c r="AM270" i="8"/>
  <c r="AL271" i="8"/>
  <c r="AM271" i="8"/>
  <c r="AL272" i="8"/>
  <c r="AM272" i="8"/>
  <c r="AL273" i="8"/>
  <c r="AM273" i="8"/>
  <c r="AL274" i="8"/>
  <c r="AM274" i="8"/>
  <c r="AL275" i="8"/>
  <c r="AM275" i="8"/>
  <c r="AT190" i="8" l="1"/>
  <c r="AM191" i="8"/>
  <c r="AN191" i="8"/>
  <c r="AO191" i="8"/>
  <c r="AP191" i="8"/>
  <c r="AQ191" i="8"/>
  <c r="AR191" i="8"/>
  <c r="AS191" i="8"/>
  <c r="AT191" i="8"/>
  <c r="AU191" i="8"/>
  <c r="AW191" i="8"/>
  <c r="BE191" i="8"/>
  <c r="AL191" i="8"/>
  <c r="AL192" i="8"/>
  <c r="AV191" i="8" l="1"/>
  <c r="AL73" i="8"/>
  <c r="AL74" i="8"/>
  <c r="AT73" i="8"/>
  <c r="AU73" i="8"/>
  <c r="V3" i="5" l="1"/>
  <c r="AW227" i="8" l="1"/>
  <c r="BE5" i="8" l="1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32" i="8"/>
  <c r="BE34" i="8"/>
  <c r="BE36" i="8"/>
  <c r="BE38" i="8"/>
  <c r="BE50" i="8"/>
  <c r="BE51" i="8"/>
  <c r="BE52" i="8"/>
  <c r="BE53" i="8"/>
  <c r="BE54" i="8"/>
  <c r="BE55" i="8"/>
  <c r="BE58" i="8"/>
  <c r="BE59" i="8"/>
  <c r="BE60" i="8"/>
  <c r="BE61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2" i="8"/>
  <c r="BE93" i="8"/>
  <c r="BE94" i="8"/>
  <c r="BE98" i="8"/>
  <c r="BE99" i="8"/>
  <c r="BE100" i="8"/>
  <c r="BE106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4" i="8"/>
  <c r="BE133" i="8"/>
  <c r="BE135" i="8"/>
  <c r="BE136" i="8"/>
  <c r="BE140" i="8"/>
  <c r="BE141" i="8"/>
  <c r="BE142" i="8"/>
  <c r="BE143" i="8"/>
  <c r="BE163" i="8"/>
  <c r="BE164" i="8"/>
  <c r="BE165" i="8"/>
  <c r="BE166" i="8"/>
  <c r="BE167" i="8"/>
  <c r="BE168" i="8"/>
  <c r="BE245" i="8"/>
  <c r="BE170" i="8"/>
  <c r="BE171" i="8"/>
  <c r="BE172" i="8"/>
  <c r="BE173" i="8"/>
  <c r="BE174" i="8"/>
  <c r="BE175" i="8"/>
  <c r="BE176" i="8"/>
  <c r="BE177" i="8"/>
  <c r="BE178" i="8"/>
  <c r="BE179" i="8"/>
  <c r="BE180" i="8"/>
  <c r="BE181" i="8"/>
  <c r="BE182" i="8"/>
  <c r="BE183" i="8"/>
  <c r="BE184" i="8"/>
  <c r="BE188" i="8"/>
  <c r="BE189" i="8"/>
  <c r="BE190" i="8"/>
  <c r="BE192" i="8"/>
  <c r="BE193" i="8"/>
  <c r="BE194" i="8"/>
  <c r="BE197" i="8"/>
  <c r="BE198" i="8"/>
  <c r="BE199" i="8"/>
  <c r="BE200" i="8"/>
  <c r="BE203" i="8"/>
  <c r="BE204" i="8"/>
  <c r="BE206" i="8"/>
  <c r="BE207" i="8"/>
  <c r="BE208" i="8"/>
  <c r="BE209" i="8"/>
  <c r="BE210" i="8"/>
  <c r="BE211" i="8"/>
  <c r="BE213" i="8"/>
  <c r="BE220" i="8"/>
  <c r="AV220" i="8" s="1"/>
  <c r="BE221" i="8"/>
  <c r="AV221" i="8" s="1"/>
  <c r="BE223" i="8"/>
  <c r="BE224" i="8"/>
  <c r="BE225" i="8"/>
  <c r="BE226" i="8"/>
  <c r="BE227" i="8"/>
  <c r="BE228" i="8"/>
  <c r="BE229" i="8"/>
  <c r="BE230" i="8"/>
  <c r="BE231" i="8"/>
  <c r="BE232" i="8"/>
  <c r="BE233" i="8"/>
  <c r="BE234" i="8"/>
  <c r="BE235" i="8"/>
  <c r="BE237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32" i="8"/>
  <c r="AU34" i="8"/>
  <c r="AU36" i="8"/>
  <c r="AU38" i="8"/>
  <c r="AU50" i="8"/>
  <c r="AU51" i="8"/>
  <c r="AU52" i="8"/>
  <c r="AU53" i="8"/>
  <c r="AU54" i="8"/>
  <c r="AU55" i="8"/>
  <c r="AU58" i="8"/>
  <c r="AU59" i="8"/>
  <c r="AU60" i="8"/>
  <c r="AU61" i="8"/>
  <c r="AU64" i="8"/>
  <c r="AU65" i="8"/>
  <c r="AU66" i="8"/>
  <c r="AU67" i="8"/>
  <c r="AU68" i="8"/>
  <c r="AU69" i="8"/>
  <c r="AU70" i="8"/>
  <c r="AU71" i="8"/>
  <c r="AU72" i="8"/>
  <c r="AU74" i="8"/>
  <c r="AU75" i="8"/>
  <c r="AU76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2" i="8"/>
  <c r="AU93" i="8"/>
  <c r="AU94" i="8"/>
  <c r="AU98" i="8"/>
  <c r="AU99" i="8"/>
  <c r="AU100" i="8"/>
  <c r="AU104" i="8"/>
  <c r="AU106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3" i="8"/>
  <c r="AU135" i="8"/>
  <c r="AU136" i="8"/>
  <c r="AU140" i="8"/>
  <c r="AU141" i="8"/>
  <c r="AU142" i="8"/>
  <c r="AU143" i="8"/>
  <c r="AU162" i="8"/>
  <c r="AU163" i="8"/>
  <c r="AU164" i="8"/>
  <c r="AU165" i="8"/>
  <c r="AU166" i="8"/>
  <c r="AU167" i="8"/>
  <c r="AU168" i="8"/>
  <c r="AU245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7" i="8"/>
  <c r="AU188" i="8"/>
  <c r="AU189" i="8"/>
  <c r="AU190" i="8"/>
  <c r="AU192" i="8"/>
  <c r="AU193" i="8"/>
  <c r="AU194" i="8"/>
  <c r="AU197" i="8"/>
  <c r="AU198" i="8"/>
  <c r="AU199" i="8"/>
  <c r="AU200" i="8"/>
  <c r="AU201" i="8"/>
  <c r="AU203" i="8"/>
  <c r="AU204" i="8"/>
  <c r="AU206" i="8"/>
  <c r="AU207" i="8"/>
  <c r="AU208" i="8"/>
  <c r="AU209" i="8"/>
  <c r="AU210" i="8"/>
  <c r="AU211" i="8"/>
  <c r="AU213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32" i="8"/>
  <c r="AT34" i="8"/>
  <c r="AT36" i="8"/>
  <c r="AT38" i="8"/>
  <c r="AT50" i="8"/>
  <c r="AT51" i="8"/>
  <c r="AT52" i="8"/>
  <c r="AT53" i="8"/>
  <c r="AT54" i="8"/>
  <c r="AT55" i="8"/>
  <c r="AT58" i="8"/>
  <c r="AT59" i="8"/>
  <c r="AT60" i="8"/>
  <c r="AT61" i="8"/>
  <c r="AT64" i="8"/>
  <c r="AT65" i="8"/>
  <c r="AT66" i="8"/>
  <c r="AT67" i="8"/>
  <c r="AT68" i="8"/>
  <c r="AT69" i="8"/>
  <c r="AT70" i="8"/>
  <c r="AT71" i="8"/>
  <c r="AT72" i="8"/>
  <c r="AT74" i="8"/>
  <c r="AT75" i="8"/>
  <c r="AT76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2" i="8"/>
  <c r="AT93" i="8"/>
  <c r="AT94" i="8"/>
  <c r="AT98" i="8"/>
  <c r="AT99" i="8"/>
  <c r="AT100" i="8"/>
  <c r="AT104" i="8"/>
  <c r="AT106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4" i="8"/>
  <c r="AT133" i="8"/>
  <c r="AT135" i="8"/>
  <c r="AT136" i="8"/>
  <c r="AT140" i="8"/>
  <c r="AT141" i="8"/>
  <c r="AT142" i="8"/>
  <c r="AT143" i="8"/>
  <c r="AT162" i="8"/>
  <c r="AT163" i="8"/>
  <c r="AT164" i="8"/>
  <c r="AT165" i="8"/>
  <c r="AT166" i="8"/>
  <c r="AT167" i="8"/>
  <c r="AT168" i="8"/>
  <c r="AT245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7" i="8"/>
  <c r="AT188" i="8"/>
  <c r="AT189" i="8"/>
  <c r="AT192" i="8"/>
  <c r="AT193" i="8"/>
  <c r="AT194" i="8"/>
  <c r="AT197" i="8"/>
  <c r="AT198" i="8"/>
  <c r="AT199" i="8"/>
  <c r="AT200" i="8"/>
  <c r="AT201" i="8"/>
  <c r="AT203" i="8"/>
  <c r="AT204" i="8"/>
  <c r="AT206" i="8"/>
  <c r="AT207" i="8"/>
  <c r="AT208" i="8"/>
  <c r="AT209" i="8"/>
  <c r="AT210" i="8"/>
  <c r="AT211" i="8"/>
  <c r="AT213" i="8"/>
  <c r="AT223" i="8"/>
  <c r="AT224" i="8"/>
  <c r="AT225" i="8"/>
  <c r="AT226" i="8"/>
  <c r="AT227" i="8"/>
  <c r="AT228" i="8"/>
  <c r="AT229" i="8"/>
  <c r="AT230" i="8"/>
  <c r="AT231" i="8"/>
  <c r="AT232" i="8"/>
  <c r="AT233" i="8"/>
  <c r="AT234" i="8"/>
  <c r="AT235" i="8"/>
  <c r="AT236" i="8"/>
  <c r="AT237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32" i="8"/>
  <c r="AS34" i="8"/>
  <c r="AS36" i="8"/>
  <c r="AS38" i="8"/>
  <c r="AS50" i="8"/>
  <c r="AS51" i="8"/>
  <c r="AS52" i="8"/>
  <c r="AS53" i="8"/>
  <c r="AS54" i="8"/>
  <c r="AS55" i="8"/>
  <c r="AS58" i="8"/>
  <c r="AS59" i="8"/>
  <c r="AS60" i="8"/>
  <c r="AS61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2" i="8"/>
  <c r="AS93" i="8"/>
  <c r="AS94" i="8"/>
  <c r="AS98" i="8"/>
  <c r="AS99" i="8"/>
  <c r="AS100" i="8"/>
  <c r="AS104" i="8"/>
  <c r="AS106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4" i="8"/>
  <c r="AS133" i="8"/>
  <c r="AS135" i="8"/>
  <c r="AS136" i="8"/>
  <c r="AS140" i="8"/>
  <c r="AS141" i="8"/>
  <c r="AS142" i="8"/>
  <c r="AS143" i="8"/>
  <c r="AS162" i="8"/>
  <c r="AS163" i="8"/>
  <c r="AS164" i="8"/>
  <c r="AS165" i="8"/>
  <c r="AS166" i="8"/>
  <c r="AS167" i="8"/>
  <c r="AS168" i="8"/>
  <c r="AS245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7" i="8"/>
  <c r="AS188" i="8"/>
  <c r="AS189" i="8"/>
  <c r="AS190" i="8"/>
  <c r="AS192" i="8"/>
  <c r="AS193" i="8"/>
  <c r="AS194" i="8"/>
  <c r="AS197" i="8"/>
  <c r="AS198" i="8"/>
  <c r="AS199" i="8"/>
  <c r="AS200" i="8"/>
  <c r="AS201" i="8"/>
  <c r="AS203" i="8"/>
  <c r="AS204" i="8"/>
  <c r="AS206" i="8"/>
  <c r="AS207" i="8"/>
  <c r="AS208" i="8"/>
  <c r="AS209" i="8"/>
  <c r="AS210" i="8"/>
  <c r="AS211" i="8"/>
  <c r="AS213" i="8"/>
  <c r="AS223" i="8"/>
  <c r="AS224" i="8"/>
  <c r="AS225" i="8"/>
  <c r="AS226" i="8"/>
  <c r="AS227" i="8"/>
  <c r="AS228" i="8"/>
  <c r="AS229" i="8"/>
  <c r="AS230" i="8"/>
  <c r="AS231" i="8"/>
  <c r="AS232" i="8"/>
  <c r="AS233" i="8"/>
  <c r="AS234" i="8"/>
  <c r="AS235" i="8"/>
  <c r="AS236" i="8"/>
  <c r="AS237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32" i="8"/>
  <c r="AR34" i="8"/>
  <c r="AR36" i="8"/>
  <c r="AR38" i="8"/>
  <c r="AR50" i="8"/>
  <c r="AR51" i="8"/>
  <c r="AR52" i="8"/>
  <c r="AR53" i="8"/>
  <c r="AR54" i="8"/>
  <c r="AR55" i="8"/>
  <c r="AR58" i="8"/>
  <c r="AR59" i="8"/>
  <c r="AR60" i="8"/>
  <c r="AR61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2" i="8"/>
  <c r="AR93" i="8"/>
  <c r="AR94" i="8"/>
  <c r="AR98" i="8"/>
  <c r="AR99" i="8"/>
  <c r="AR100" i="8"/>
  <c r="AR104" i="8"/>
  <c r="AR106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4" i="8"/>
  <c r="AR133" i="8"/>
  <c r="AR135" i="8"/>
  <c r="AR136" i="8"/>
  <c r="AR140" i="8"/>
  <c r="AR141" i="8"/>
  <c r="AR142" i="8"/>
  <c r="AR143" i="8"/>
  <c r="AR162" i="8"/>
  <c r="AR163" i="8"/>
  <c r="AR164" i="8"/>
  <c r="AR165" i="8"/>
  <c r="AR166" i="8"/>
  <c r="AR167" i="8"/>
  <c r="AR168" i="8"/>
  <c r="AR245" i="8"/>
  <c r="AR170" i="8"/>
  <c r="AR171" i="8"/>
  <c r="AR172" i="8"/>
  <c r="AR173" i="8"/>
  <c r="AR174" i="8"/>
  <c r="AR175" i="8"/>
  <c r="AR176" i="8"/>
  <c r="AR177" i="8"/>
  <c r="AR178" i="8"/>
  <c r="AR179" i="8"/>
  <c r="AR180" i="8"/>
  <c r="AR181" i="8"/>
  <c r="AR182" i="8"/>
  <c r="AR183" i="8"/>
  <c r="AR184" i="8"/>
  <c r="AR187" i="8"/>
  <c r="AR188" i="8"/>
  <c r="AR189" i="8"/>
  <c r="AR190" i="8"/>
  <c r="AR192" i="8"/>
  <c r="AR193" i="8"/>
  <c r="AR194" i="8"/>
  <c r="AR197" i="8"/>
  <c r="AR198" i="8"/>
  <c r="AR199" i="8"/>
  <c r="AR200" i="8"/>
  <c r="AR201" i="8"/>
  <c r="AR203" i="8"/>
  <c r="AR204" i="8"/>
  <c r="AR206" i="8"/>
  <c r="AR207" i="8"/>
  <c r="AR208" i="8"/>
  <c r="AR209" i="8"/>
  <c r="AR210" i="8"/>
  <c r="AR211" i="8"/>
  <c r="AR213" i="8"/>
  <c r="AR223" i="8"/>
  <c r="AR224" i="8"/>
  <c r="AR225" i="8"/>
  <c r="AR226" i="8"/>
  <c r="AR227" i="8"/>
  <c r="AR228" i="8"/>
  <c r="AR229" i="8"/>
  <c r="AR230" i="8"/>
  <c r="AR231" i="8"/>
  <c r="AR232" i="8"/>
  <c r="AR233" i="8"/>
  <c r="AR234" i="8"/>
  <c r="AR235" i="8"/>
  <c r="AR236" i="8"/>
  <c r="AR237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32" i="8"/>
  <c r="AQ34" i="8"/>
  <c r="AQ36" i="8"/>
  <c r="AQ38" i="8"/>
  <c r="AQ50" i="8"/>
  <c r="AQ51" i="8"/>
  <c r="AQ52" i="8"/>
  <c r="AQ53" i="8"/>
  <c r="AQ54" i="8"/>
  <c r="AQ55" i="8"/>
  <c r="AQ58" i="8"/>
  <c r="AQ59" i="8"/>
  <c r="AQ60" i="8"/>
  <c r="AQ61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2" i="8"/>
  <c r="AQ93" i="8"/>
  <c r="AQ94" i="8"/>
  <c r="AQ98" i="8"/>
  <c r="AQ99" i="8"/>
  <c r="AQ100" i="8"/>
  <c r="AQ104" i="8"/>
  <c r="AQ106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4" i="8"/>
  <c r="AQ133" i="8"/>
  <c r="AQ135" i="8"/>
  <c r="AQ136" i="8"/>
  <c r="AQ140" i="8"/>
  <c r="AQ141" i="8"/>
  <c r="AQ142" i="8"/>
  <c r="AQ143" i="8"/>
  <c r="AQ162" i="8"/>
  <c r="AV162" i="8" s="1"/>
  <c r="AQ163" i="8"/>
  <c r="AQ164" i="8"/>
  <c r="AQ165" i="8"/>
  <c r="AQ166" i="8"/>
  <c r="AQ167" i="8"/>
  <c r="AQ168" i="8"/>
  <c r="AQ245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7" i="8"/>
  <c r="AV187" i="8" s="1"/>
  <c r="AQ188" i="8"/>
  <c r="AQ189" i="8"/>
  <c r="AQ190" i="8"/>
  <c r="AQ192" i="8"/>
  <c r="AQ193" i="8"/>
  <c r="AQ194" i="8"/>
  <c r="AQ197" i="8"/>
  <c r="AQ198" i="8"/>
  <c r="AQ199" i="8"/>
  <c r="AQ200" i="8"/>
  <c r="AQ201" i="8"/>
  <c r="AV201" i="8" s="1"/>
  <c r="AQ203" i="8"/>
  <c r="AQ204" i="8"/>
  <c r="AQ206" i="8"/>
  <c r="AQ207" i="8"/>
  <c r="AQ208" i="8"/>
  <c r="AQ209" i="8"/>
  <c r="AQ210" i="8"/>
  <c r="AQ211" i="8"/>
  <c r="AQ213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V236" i="8" s="1"/>
  <c r="AQ237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32" i="8"/>
  <c r="AP34" i="8"/>
  <c r="AP36" i="8"/>
  <c r="AP38" i="8"/>
  <c r="AP50" i="8"/>
  <c r="AP51" i="8"/>
  <c r="AP52" i="8"/>
  <c r="AP53" i="8"/>
  <c r="AP54" i="8"/>
  <c r="AP55" i="8"/>
  <c r="AP58" i="8"/>
  <c r="AP59" i="8"/>
  <c r="AP60" i="8"/>
  <c r="AP61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2" i="8"/>
  <c r="AP93" i="8"/>
  <c r="AP94" i="8"/>
  <c r="AP98" i="8"/>
  <c r="AP99" i="8"/>
  <c r="AP100" i="8"/>
  <c r="AP104" i="8"/>
  <c r="AP106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4" i="8"/>
  <c r="AP133" i="8"/>
  <c r="AP135" i="8"/>
  <c r="AP136" i="8"/>
  <c r="AP140" i="8"/>
  <c r="AP141" i="8"/>
  <c r="AP142" i="8"/>
  <c r="AP143" i="8"/>
  <c r="AP162" i="8"/>
  <c r="AP163" i="8"/>
  <c r="AP164" i="8"/>
  <c r="AP165" i="8"/>
  <c r="AP166" i="8"/>
  <c r="AP167" i="8"/>
  <c r="AP168" i="8"/>
  <c r="AP245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7" i="8"/>
  <c r="AP188" i="8"/>
  <c r="AP189" i="8"/>
  <c r="AP190" i="8"/>
  <c r="AP192" i="8"/>
  <c r="AP193" i="8"/>
  <c r="AP194" i="8"/>
  <c r="AP197" i="8"/>
  <c r="AP198" i="8"/>
  <c r="AP199" i="8"/>
  <c r="AP200" i="8"/>
  <c r="AP201" i="8"/>
  <c r="AP203" i="8"/>
  <c r="AP204" i="8"/>
  <c r="AP206" i="8"/>
  <c r="AP207" i="8"/>
  <c r="AP208" i="8"/>
  <c r="AP209" i="8"/>
  <c r="AP210" i="8"/>
  <c r="AP211" i="8"/>
  <c r="AP213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32" i="8"/>
  <c r="AN34" i="8"/>
  <c r="AN36" i="8"/>
  <c r="AN38" i="8"/>
  <c r="AN50" i="8"/>
  <c r="AN51" i="8"/>
  <c r="AN52" i="8"/>
  <c r="AN53" i="8"/>
  <c r="AN54" i="8"/>
  <c r="AN55" i="8"/>
  <c r="AN58" i="8"/>
  <c r="AN59" i="8"/>
  <c r="AN60" i="8"/>
  <c r="AN61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2" i="8"/>
  <c r="AN93" i="8"/>
  <c r="AN94" i="8"/>
  <c r="AN98" i="8"/>
  <c r="AN99" i="8"/>
  <c r="AN100" i="8"/>
  <c r="AN104" i="8"/>
  <c r="AN106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4" i="8"/>
  <c r="AN133" i="8"/>
  <c r="AN135" i="8"/>
  <c r="AN136" i="8"/>
  <c r="AN140" i="8"/>
  <c r="AN141" i="8"/>
  <c r="AN142" i="8"/>
  <c r="AN143" i="8"/>
  <c r="AN162" i="8"/>
  <c r="AN163" i="8"/>
  <c r="AN164" i="8"/>
  <c r="AN165" i="8"/>
  <c r="AN166" i="8"/>
  <c r="AN167" i="8"/>
  <c r="AN168" i="8"/>
  <c r="AN245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8" i="8"/>
  <c r="AN189" i="8"/>
  <c r="AN190" i="8"/>
  <c r="AN192" i="8"/>
  <c r="AN193" i="8"/>
  <c r="AN194" i="8"/>
  <c r="AN197" i="8"/>
  <c r="AN198" i="8"/>
  <c r="AN199" i="8"/>
  <c r="AN200" i="8"/>
  <c r="AN201" i="8"/>
  <c r="AN203" i="8"/>
  <c r="AN204" i="8"/>
  <c r="AN206" i="8"/>
  <c r="AN207" i="8"/>
  <c r="AN208" i="8"/>
  <c r="AN209" i="8"/>
  <c r="AN210" i="8"/>
  <c r="AN211" i="8"/>
  <c r="AN213" i="8"/>
  <c r="AN225" i="8"/>
  <c r="AN226" i="8"/>
  <c r="AN227" i="8"/>
  <c r="AN228" i="8"/>
  <c r="AN229" i="8"/>
  <c r="AN230" i="8"/>
  <c r="AN231" i="8"/>
  <c r="AN232" i="8"/>
  <c r="AN233" i="8"/>
  <c r="AN234" i="8"/>
  <c r="AN235" i="8"/>
  <c r="AN236" i="8"/>
  <c r="AN237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32" i="8"/>
  <c r="AO34" i="8"/>
  <c r="AO36" i="8"/>
  <c r="AO38" i="8"/>
  <c r="AO50" i="8"/>
  <c r="AO51" i="8"/>
  <c r="AO52" i="8"/>
  <c r="AO53" i="8"/>
  <c r="AO54" i="8"/>
  <c r="AO55" i="8"/>
  <c r="AO58" i="8"/>
  <c r="AO59" i="8"/>
  <c r="AO60" i="8"/>
  <c r="AO61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2" i="8"/>
  <c r="AO93" i="8"/>
  <c r="AO94" i="8"/>
  <c r="AO98" i="8"/>
  <c r="AO99" i="8"/>
  <c r="AO100" i="8"/>
  <c r="AO104" i="8"/>
  <c r="AO106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4" i="8"/>
  <c r="AO133" i="8"/>
  <c r="AO135" i="8"/>
  <c r="AO136" i="8"/>
  <c r="AO140" i="8"/>
  <c r="AO141" i="8"/>
  <c r="AO142" i="8"/>
  <c r="AO143" i="8"/>
  <c r="AO162" i="8"/>
  <c r="AO163" i="8"/>
  <c r="AO164" i="8"/>
  <c r="AO165" i="8"/>
  <c r="AO166" i="8"/>
  <c r="AO167" i="8"/>
  <c r="AO168" i="8"/>
  <c r="AO245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90" i="8"/>
  <c r="AO192" i="8"/>
  <c r="AO193" i="8"/>
  <c r="AO194" i="8"/>
  <c r="AO197" i="8"/>
  <c r="AO198" i="8"/>
  <c r="AO199" i="8"/>
  <c r="AO200" i="8"/>
  <c r="AO201" i="8"/>
  <c r="AO203" i="8"/>
  <c r="AO204" i="8"/>
  <c r="AO206" i="8"/>
  <c r="AO207" i="8"/>
  <c r="AO208" i="8"/>
  <c r="AO209" i="8"/>
  <c r="AO210" i="8"/>
  <c r="AO211" i="8"/>
  <c r="AO213" i="8"/>
  <c r="AO223" i="8"/>
  <c r="AO224" i="8"/>
  <c r="AO225" i="8"/>
  <c r="AO226" i="8"/>
  <c r="AO227" i="8"/>
  <c r="AO228" i="8"/>
  <c r="AO229" i="8"/>
  <c r="AO230" i="8"/>
  <c r="AO231" i="8"/>
  <c r="AO232" i="8"/>
  <c r="AO233" i="8"/>
  <c r="AO234" i="8"/>
  <c r="AO235" i="8"/>
  <c r="AO236" i="8"/>
  <c r="AO237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32" i="8"/>
  <c r="AW34" i="8"/>
  <c r="AW36" i="8"/>
  <c r="AW38" i="8"/>
  <c r="AW50" i="8"/>
  <c r="AW51" i="8"/>
  <c r="AW52" i="8"/>
  <c r="AW53" i="8"/>
  <c r="AW54" i="8"/>
  <c r="AW55" i="8"/>
  <c r="AW58" i="8"/>
  <c r="AW59" i="8"/>
  <c r="AW60" i="8"/>
  <c r="AW61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2" i="8"/>
  <c r="AW93" i="8"/>
  <c r="AW94" i="8"/>
  <c r="AW98" i="8"/>
  <c r="AW99" i="8"/>
  <c r="AW100" i="8"/>
  <c r="AW104" i="8"/>
  <c r="AW106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4" i="8"/>
  <c r="AW133" i="8"/>
  <c r="AW135" i="8"/>
  <c r="AW136" i="8"/>
  <c r="AW140" i="8"/>
  <c r="AW141" i="8"/>
  <c r="AW142" i="8"/>
  <c r="AW143" i="8"/>
  <c r="AW162" i="8"/>
  <c r="AW163" i="8"/>
  <c r="AW164" i="8"/>
  <c r="AW165" i="8"/>
  <c r="AW166" i="8"/>
  <c r="AW167" i="8"/>
  <c r="AW168" i="8"/>
  <c r="AW245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7" i="8"/>
  <c r="AW188" i="8"/>
  <c r="AW189" i="8"/>
  <c r="AW190" i="8"/>
  <c r="AW192" i="8"/>
  <c r="AW193" i="8"/>
  <c r="AW194" i="8"/>
  <c r="AW197" i="8"/>
  <c r="AW198" i="8"/>
  <c r="AW199" i="8"/>
  <c r="AW200" i="8"/>
  <c r="AW201" i="8"/>
  <c r="AW203" i="8"/>
  <c r="AW204" i="8"/>
  <c r="AW206" i="8"/>
  <c r="AW207" i="8"/>
  <c r="AW208" i="8"/>
  <c r="AW209" i="8"/>
  <c r="AW210" i="8"/>
  <c r="AW211" i="8"/>
  <c r="AW213" i="8"/>
  <c r="AW223" i="8"/>
  <c r="AW224" i="8"/>
  <c r="AW225" i="8"/>
  <c r="AW226" i="8"/>
  <c r="AV198" i="8" l="1"/>
  <c r="AV192" i="8"/>
  <c r="AV184" i="8"/>
  <c r="AV180" i="8"/>
  <c r="AV176" i="8"/>
  <c r="AV172" i="8"/>
  <c r="AV168" i="8"/>
  <c r="AV164" i="8"/>
  <c r="AV141" i="8"/>
  <c r="AV133" i="8"/>
  <c r="AV128" i="8"/>
  <c r="AV124" i="8"/>
  <c r="AV120" i="8"/>
  <c r="AV114" i="8"/>
  <c r="AV110" i="8"/>
  <c r="AV100" i="8"/>
  <c r="AV93" i="8"/>
  <c r="AV87" i="8"/>
  <c r="AV83" i="8"/>
  <c r="AV79" i="8"/>
  <c r="AV74" i="8"/>
  <c r="AV70" i="8"/>
  <c r="AV66" i="8"/>
  <c r="AV60" i="8"/>
  <c r="AV54" i="8"/>
  <c r="AV50" i="8"/>
  <c r="AV32" i="8"/>
  <c r="AV16" i="8"/>
  <c r="AV12" i="8"/>
  <c r="AV8" i="8"/>
  <c r="AV233" i="8"/>
  <c r="AV229" i="8"/>
  <c r="AV225" i="8"/>
  <c r="AV237" i="8"/>
  <c r="AV232" i="8"/>
  <c r="AV228" i="8"/>
  <c r="AV224" i="8"/>
  <c r="AV213" i="8"/>
  <c r="AV208" i="8"/>
  <c r="AV203" i="8"/>
  <c r="AV197" i="8"/>
  <c r="AV190" i="8"/>
  <c r="AV183" i="8"/>
  <c r="AV179" i="8"/>
  <c r="AV175" i="8"/>
  <c r="AV171" i="8"/>
  <c r="AV167" i="8"/>
  <c r="AV163" i="8"/>
  <c r="AV140" i="8"/>
  <c r="AV134" i="8"/>
  <c r="AV127" i="8"/>
  <c r="AV123" i="8"/>
  <c r="AV119" i="8"/>
  <c r="AV117" i="8"/>
  <c r="AV113" i="8"/>
  <c r="AV99" i="8"/>
  <c r="AV92" i="8"/>
  <c r="AV86" i="8"/>
  <c r="AV82" i="8"/>
  <c r="AV78" i="8"/>
  <c r="AV73" i="8"/>
  <c r="AV69" i="8"/>
  <c r="AV65" i="8"/>
  <c r="AV59" i="8"/>
  <c r="AV53" i="8"/>
  <c r="AV38" i="8"/>
  <c r="AV19" i="8"/>
  <c r="AV15" i="8"/>
  <c r="AV11" i="8"/>
  <c r="AV7" i="8"/>
  <c r="AV209" i="8"/>
  <c r="AV235" i="8"/>
  <c r="AV231" i="8"/>
  <c r="AV227" i="8"/>
  <c r="AV223" i="8"/>
  <c r="AV211" i="8"/>
  <c r="AV207" i="8"/>
  <c r="AV200" i="8"/>
  <c r="AV194" i="8"/>
  <c r="AV189" i="8"/>
  <c r="AV182" i="8"/>
  <c r="AV178" i="8"/>
  <c r="AV174" i="8"/>
  <c r="AV170" i="8"/>
  <c r="AV166" i="8"/>
  <c r="AV143" i="8"/>
  <c r="AV136" i="8"/>
  <c r="AV130" i="8"/>
  <c r="AV126" i="8"/>
  <c r="AV122" i="8"/>
  <c r="AV118" i="8"/>
  <c r="AV116" i="8"/>
  <c r="AV112" i="8"/>
  <c r="AV106" i="8"/>
  <c r="AV98" i="8"/>
  <c r="AV89" i="8"/>
  <c r="AV85" i="8"/>
  <c r="AV81" i="8"/>
  <c r="AV76" i="8"/>
  <c r="AV72" i="8"/>
  <c r="AV68" i="8"/>
  <c r="AV64" i="8"/>
  <c r="AV58" i="8"/>
  <c r="AV52" i="8"/>
  <c r="AV36" i="8"/>
  <c r="AV18" i="8"/>
  <c r="AV14" i="8"/>
  <c r="AV10" i="8"/>
  <c r="AV6" i="8"/>
  <c r="AV204" i="8"/>
  <c r="AV234" i="8"/>
  <c r="AV230" i="8"/>
  <c r="AV226" i="8"/>
  <c r="AV210" i="8"/>
  <c r="AV206" i="8"/>
  <c r="AV199" i="8"/>
  <c r="AV193" i="8"/>
  <c r="AV188" i="8"/>
  <c r="AV181" i="8"/>
  <c r="AV177" i="8"/>
  <c r="AV173" i="8"/>
  <c r="AV245" i="8"/>
  <c r="AV165" i="8"/>
  <c r="AV142" i="8"/>
  <c r="AV135" i="8"/>
  <c r="AV129" i="8"/>
  <c r="AV125" i="8"/>
  <c r="AV121" i="8"/>
  <c r="AV115" i="8"/>
  <c r="AV111" i="8"/>
  <c r="AV104" i="8"/>
  <c r="AV94" i="8"/>
  <c r="AV88" i="8"/>
  <c r="AV84" i="8"/>
  <c r="AV80" i="8"/>
  <c r="AV75" i="8"/>
  <c r="AV71" i="8"/>
  <c r="AV67" i="8"/>
  <c r="AV61" i="8"/>
  <c r="AV55" i="8"/>
  <c r="AV51" i="8"/>
  <c r="AV34" i="8"/>
  <c r="AV17" i="8"/>
  <c r="AV13" i="8"/>
  <c r="AV9" i="8"/>
  <c r="AV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4" i="8"/>
  <c r="AL133" i="8"/>
  <c r="AL135" i="8"/>
  <c r="AL136" i="8"/>
  <c r="AL140" i="8"/>
  <c r="AL141" i="8"/>
  <c r="AL142" i="8"/>
  <c r="AL143" i="8"/>
  <c r="AL162" i="8"/>
  <c r="AL163" i="8"/>
  <c r="AL164" i="8"/>
  <c r="AL165" i="8"/>
  <c r="AL166" i="8"/>
  <c r="AL167" i="8"/>
  <c r="AL168" i="8"/>
  <c r="AL245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7" i="8"/>
  <c r="AL188" i="8"/>
  <c r="AL189" i="8"/>
  <c r="AL190" i="8"/>
  <c r="AL193" i="8"/>
  <c r="AL194" i="8"/>
  <c r="AL197" i="8"/>
  <c r="AL198" i="8"/>
  <c r="AL199" i="8"/>
  <c r="AL200" i="8"/>
  <c r="AL201" i="8"/>
  <c r="AL203" i="8"/>
  <c r="AL204" i="8"/>
  <c r="AL207" i="8"/>
  <c r="AL208" i="8"/>
  <c r="AL209" i="8"/>
  <c r="AL210" i="8"/>
  <c r="AL211" i="8"/>
  <c r="AL213" i="8"/>
  <c r="AL228" i="8"/>
  <c r="AL229" i="8"/>
  <c r="AL230" i="8"/>
  <c r="AL231" i="8"/>
  <c r="AL232" i="8"/>
  <c r="AL233" i="8"/>
  <c r="AL234" i="8"/>
  <c r="AL235" i="8"/>
  <c r="AL236" i="8"/>
  <c r="AL237" i="8"/>
  <c r="AM192" i="8" l="1"/>
  <c r="AM72" i="8"/>
  <c r="AM73" i="8"/>
  <c r="AM74" i="8"/>
  <c r="AL5" i="8" l="1"/>
  <c r="AL6" i="8"/>
  <c r="AL7" i="8"/>
  <c r="AL8" i="8"/>
  <c r="AL9" i="8"/>
  <c r="AL10" i="8"/>
  <c r="AL11" i="8"/>
  <c r="AL12" i="8"/>
  <c r="AL13" i="8"/>
  <c r="AL14" i="8"/>
  <c r="AL16" i="8"/>
  <c r="AL15" i="8"/>
  <c r="AL17" i="8"/>
  <c r="AL18" i="8"/>
  <c r="AL19" i="8"/>
  <c r="AL32" i="8"/>
  <c r="AL34" i="8"/>
  <c r="AL36" i="8"/>
  <c r="AL38" i="8"/>
  <c r="AL50" i="8"/>
  <c r="AL51" i="8"/>
  <c r="AL52" i="8"/>
  <c r="AL53" i="8"/>
  <c r="AL54" i="8"/>
  <c r="AL55" i="8"/>
  <c r="AL58" i="8"/>
  <c r="AL59" i="8"/>
  <c r="AL60" i="8"/>
  <c r="AL61" i="8"/>
  <c r="AL64" i="8"/>
  <c r="AL65" i="8"/>
  <c r="AL66" i="8"/>
  <c r="AL67" i="8"/>
  <c r="AL68" i="8"/>
  <c r="AL69" i="8"/>
  <c r="AL70" i="8"/>
  <c r="AL71" i="8"/>
  <c r="AL72" i="8"/>
  <c r="AL75" i="8"/>
  <c r="AL76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2" i="8"/>
  <c r="AL93" i="8"/>
  <c r="AL94" i="8"/>
  <c r="AL99" i="8"/>
  <c r="AL100" i="8"/>
  <c r="AL111" i="8"/>
  <c r="AL112" i="8"/>
  <c r="AL113" i="8"/>
  <c r="AL114" i="8"/>
  <c r="AL115" i="8"/>
  <c r="AM173" i="8"/>
  <c r="AM174" i="8"/>
  <c r="BP174" i="8" s="1"/>
  <c r="AM175" i="8"/>
  <c r="AM176" i="8"/>
  <c r="AM177" i="8"/>
  <c r="BP177" i="8" s="1"/>
  <c r="AM178" i="8"/>
  <c r="AM179" i="8"/>
  <c r="AM180" i="8"/>
  <c r="AM181" i="8"/>
  <c r="AM182" i="8"/>
  <c r="AM183" i="8"/>
  <c r="AM184" i="8"/>
  <c r="AM188" i="8"/>
  <c r="AM189" i="8"/>
  <c r="AM190" i="8"/>
  <c r="AM193" i="8"/>
  <c r="BP193" i="8" s="1"/>
  <c r="AM194" i="8"/>
  <c r="BP194" i="8" s="1"/>
  <c r="AM197" i="8"/>
  <c r="AM198" i="8"/>
  <c r="AM199" i="8"/>
  <c r="AM200" i="8"/>
  <c r="AM201" i="8"/>
  <c r="AM203" i="8"/>
  <c r="AM213" i="8"/>
  <c r="BP213" i="8" s="1"/>
  <c r="AM204" i="8"/>
  <c r="BP204" i="8" s="1"/>
  <c r="AM207" i="8"/>
  <c r="BP207" i="8" s="1"/>
  <c r="AM208" i="8"/>
  <c r="BP208" i="8" s="1"/>
  <c r="AM209" i="8"/>
  <c r="BP209" i="8" s="1"/>
  <c r="AM210" i="8"/>
  <c r="BP210" i="8" s="1"/>
  <c r="AM211" i="8"/>
  <c r="BP211" i="8" s="1"/>
  <c r="AM236" i="8"/>
  <c r="BP236" i="8" s="1"/>
  <c r="AM224" i="8"/>
  <c r="BP224" i="8" s="1"/>
  <c r="AM225" i="8"/>
  <c r="BP225" i="8" s="1"/>
  <c r="AM226" i="8"/>
  <c r="BP226" i="8" s="1"/>
  <c r="AM227" i="8"/>
  <c r="BP227" i="8" s="1"/>
  <c r="AM228" i="8"/>
  <c r="BP228" i="8" s="1"/>
  <c r="AM229" i="8"/>
  <c r="BP229" i="8" s="1"/>
  <c r="AM230" i="8"/>
  <c r="BP230" i="8" s="1"/>
  <c r="AM231" i="8"/>
  <c r="BP231" i="8" s="1"/>
  <c r="AM232" i="8"/>
  <c r="BP232" i="8" s="1"/>
  <c r="AM233" i="8"/>
  <c r="BP233" i="8" s="1"/>
  <c r="AM234" i="8"/>
  <c r="BP234" i="8" s="1"/>
  <c r="AM235" i="8"/>
  <c r="BP235" i="8" s="1"/>
  <c r="AM237" i="8"/>
  <c r="BP237" i="8" s="1"/>
  <c r="AM75" i="8"/>
  <c r="AM76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2" i="8"/>
  <c r="AM93" i="8"/>
  <c r="AM94" i="8"/>
  <c r="AM98" i="8"/>
  <c r="AM99" i="8"/>
  <c r="AM100" i="8"/>
  <c r="AM104" i="8"/>
  <c r="AM106" i="8"/>
  <c r="AM110" i="8"/>
  <c r="AM111" i="8"/>
  <c r="AM112" i="8"/>
  <c r="AM113" i="8"/>
  <c r="AM114" i="8"/>
  <c r="BP114" i="8" s="1"/>
  <c r="AM115" i="8"/>
  <c r="BP115" i="8" s="1"/>
  <c r="AM116" i="8"/>
  <c r="BP116" i="8" s="1"/>
  <c r="AM117" i="8"/>
  <c r="BP117" i="8" s="1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4" i="8"/>
  <c r="AM133" i="8"/>
  <c r="AM135" i="8"/>
  <c r="AM136" i="8"/>
  <c r="AM140" i="8"/>
  <c r="AM141" i="8"/>
  <c r="AM142" i="8"/>
  <c r="AM143" i="8"/>
  <c r="AM162" i="8"/>
  <c r="AM163" i="8"/>
  <c r="AM164" i="8"/>
  <c r="AM165" i="8"/>
  <c r="AM166" i="8"/>
  <c r="AM167" i="8"/>
  <c r="AM168" i="8"/>
  <c r="AM245" i="8"/>
  <c r="AM170" i="8"/>
  <c r="AM171" i="8"/>
  <c r="AM172" i="8"/>
  <c r="AM103" i="7" l="1"/>
  <c r="AM119" i="7"/>
  <c r="AL112" i="7"/>
  <c r="AL113" i="7"/>
  <c r="AL111" i="7"/>
  <c r="AM112" i="7"/>
  <c r="AL105" i="7"/>
  <c r="AL119" i="7"/>
  <c r="AM117" i="7"/>
  <c r="AL110" i="7"/>
  <c r="AM107" i="7"/>
  <c r="AM123" i="7"/>
  <c r="AL116" i="7"/>
  <c r="AL121" i="7"/>
  <c r="AL123" i="7"/>
  <c r="AM116" i="7"/>
  <c r="AL109" i="7"/>
  <c r="AM105" i="7"/>
  <c r="AM121" i="7"/>
  <c r="AL114" i="7"/>
  <c r="AM110" i="7"/>
  <c r="AM111" i="7"/>
  <c r="AL104" i="7"/>
  <c r="AL120" i="7"/>
  <c r="AL125" i="7"/>
  <c r="AM104" i="7"/>
  <c r="AM120" i="7"/>
  <c r="AL117" i="7"/>
  <c r="AM109" i="7"/>
  <c r="AM125" i="7"/>
  <c r="AL118" i="7"/>
  <c r="AM114" i="7"/>
  <c r="AL107" i="7"/>
  <c r="AM115" i="7"/>
  <c r="AL108" i="7"/>
  <c r="AL124" i="7"/>
  <c r="AL103" i="7"/>
  <c r="AM108" i="7"/>
  <c r="AM124" i="7"/>
  <c r="AM122" i="7"/>
  <c r="AM113" i="7"/>
  <c r="AL106" i="7"/>
  <c r="AL122" i="7"/>
  <c r="AM118" i="7"/>
  <c r="AM106" i="7"/>
  <c r="AL115" i="7"/>
  <c r="BP203" i="8"/>
  <c r="BQ203" i="8" s="1"/>
  <c r="AK106" i="7"/>
  <c r="AK109" i="7"/>
  <c r="AJ108" i="7"/>
  <c r="AK118" i="7"/>
  <c r="AJ105" i="7"/>
  <c r="AK111" i="7"/>
  <c r="AJ125" i="7"/>
  <c r="AK124" i="7"/>
  <c r="AK107" i="7"/>
  <c r="AJ122" i="7"/>
  <c r="AK120" i="7"/>
  <c r="AK103" i="7"/>
  <c r="AJ109" i="7"/>
  <c r="AK115" i="7"/>
  <c r="AJ114" i="7"/>
  <c r="AK112" i="7"/>
  <c r="AJ123" i="7"/>
  <c r="AJ110" i="7"/>
  <c r="AK108" i="7"/>
  <c r="AJ119" i="7"/>
  <c r="AJ106" i="7"/>
  <c r="AK104" i="7"/>
  <c r="AJ115" i="7"/>
  <c r="AJ118" i="7"/>
  <c r="AK116" i="7"/>
  <c r="AJ121" i="7"/>
  <c r="AK121" i="7"/>
  <c r="AJ120" i="7"/>
  <c r="AJ107" i="7"/>
  <c r="AK117" i="7"/>
  <c r="AJ116" i="7"/>
  <c r="AJ103" i="7"/>
  <c r="AK113" i="7"/>
  <c r="AJ112" i="7"/>
  <c r="AK122" i="7"/>
  <c r="AK125" i="7"/>
  <c r="AJ124" i="7"/>
  <c r="AJ111" i="7"/>
  <c r="AK105" i="7"/>
  <c r="AJ104" i="7"/>
  <c r="AK114" i="7"/>
  <c r="AJ117" i="7"/>
  <c r="AK123" i="7"/>
  <c r="AK110" i="7"/>
  <c r="AJ113" i="7"/>
  <c r="AK119" i="7"/>
  <c r="X103" i="7"/>
  <c r="X125" i="7"/>
  <c r="X124" i="7"/>
  <c r="X106" i="7"/>
  <c r="X123" i="7"/>
  <c r="X116" i="7"/>
  <c r="X113" i="7"/>
  <c r="X115" i="7"/>
  <c r="X108" i="7"/>
  <c r="X114" i="7"/>
  <c r="X107" i="7"/>
  <c r="X122" i="7"/>
  <c r="X109" i="7"/>
  <c r="X110" i="7"/>
  <c r="X117" i="7"/>
  <c r="X120" i="7"/>
  <c r="X118" i="7"/>
  <c r="X119" i="7"/>
  <c r="X112" i="7"/>
  <c r="X105" i="7"/>
  <c r="X111" i="7"/>
  <c r="X104" i="7"/>
  <c r="X121" i="7"/>
  <c r="BQ58" i="8"/>
  <c r="BQ237" i="8"/>
  <c r="BQ228" i="8"/>
  <c r="BQ204" i="8"/>
  <c r="BQ194" i="8"/>
  <c r="BQ117" i="8"/>
  <c r="BQ66" i="8"/>
  <c r="BQ61" i="8"/>
  <c r="BQ55" i="8"/>
  <c r="BQ51" i="8"/>
  <c r="BQ235" i="8"/>
  <c r="BQ231" i="8"/>
  <c r="BQ227" i="8"/>
  <c r="BQ223" i="8"/>
  <c r="BQ211" i="8"/>
  <c r="BQ207" i="8"/>
  <c r="BQ213" i="8"/>
  <c r="BQ193" i="8"/>
  <c r="BQ174" i="8"/>
  <c r="BQ114" i="8"/>
  <c r="BQ64" i="8"/>
  <c r="BQ52" i="8"/>
  <c r="BQ232" i="8"/>
  <c r="BQ224" i="8"/>
  <c r="BQ208" i="8"/>
  <c r="BQ116" i="8"/>
  <c r="BQ71" i="8"/>
  <c r="BQ60" i="8"/>
  <c r="BQ54" i="8"/>
  <c r="BQ234" i="8"/>
  <c r="BQ230" i="8"/>
  <c r="BQ226" i="8"/>
  <c r="BQ236" i="8"/>
  <c r="BQ210" i="8"/>
  <c r="BQ221" i="8"/>
  <c r="BQ177" i="8"/>
  <c r="BQ115" i="8"/>
  <c r="BQ70" i="8"/>
  <c r="BQ65" i="8"/>
  <c r="BQ59" i="8"/>
  <c r="BQ53" i="8"/>
  <c r="BQ233" i="8"/>
  <c r="BQ229" i="8"/>
  <c r="BQ225" i="8"/>
  <c r="BQ209" i="8"/>
  <c r="BQ220" i="8"/>
  <c r="AB3" i="5" l="1"/>
  <c r="AF24" i="5" l="1"/>
  <c r="BK16" i="5" l="1"/>
  <c r="AY7" i="5" l="1"/>
  <c r="AJ29" i="5" l="1"/>
  <c r="AG29" i="5" l="1"/>
  <c r="AI29" i="5"/>
  <c r="AM37" i="5" l="1"/>
  <c r="AM36" i="5"/>
  <c r="AM35" i="5"/>
  <c r="BL16" i="5" l="1"/>
  <c r="BJ16" i="5"/>
  <c r="BM16" i="5" l="1"/>
  <c r="Q21" i="9" l="1"/>
  <c r="U7" i="9"/>
  <c r="X6" i="5"/>
  <c r="Y7" i="9" s="1"/>
  <c r="E32" i="5" l="1"/>
  <c r="B22" i="9" l="1"/>
  <c r="AL5" i="5" l="1"/>
  <c r="AL4" i="8" l="1"/>
  <c r="AN4" i="8"/>
  <c r="AO4" i="8"/>
  <c r="AP4" i="8"/>
  <c r="AQ4" i="8"/>
  <c r="AR4" i="8"/>
  <c r="AS4" i="8"/>
  <c r="AT4" i="8"/>
  <c r="AU4" i="8"/>
  <c r="AW4" i="8"/>
  <c r="BE4" i="8"/>
  <c r="AV4" i="8" l="1"/>
  <c r="AC103" i="7"/>
  <c r="AC115" i="7"/>
  <c r="AC104" i="7"/>
  <c r="AC112" i="7"/>
  <c r="AC105" i="7"/>
  <c r="AC109" i="7"/>
  <c r="AC113" i="7"/>
  <c r="AC117" i="7"/>
  <c r="AC121" i="7"/>
  <c r="AC125" i="7"/>
  <c r="AC106" i="7"/>
  <c r="AC110" i="7"/>
  <c r="AC114" i="7"/>
  <c r="AC118" i="7"/>
  <c r="AC122" i="7"/>
  <c r="AC107" i="7"/>
  <c r="AC111" i="7"/>
  <c r="AC119" i="7"/>
  <c r="AC123" i="7"/>
  <c r="AC108" i="7"/>
  <c r="AC116" i="7"/>
  <c r="AC120" i="7"/>
  <c r="AC124" i="7"/>
  <c r="AD103" i="7"/>
  <c r="AD123" i="7"/>
  <c r="AD118" i="7"/>
  <c r="AD125" i="7"/>
  <c r="AD109" i="7"/>
  <c r="AD116" i="7"/>
  <c r="AD115" i="7"/>
  <c r="AD107" i="7"/>
  <c r="AD114" i="7"/>
  <c r="AD121" i="7"/>
  <c r="AD105" i="7"/>
  <c r="AD112" i="7"/>
  <c r="AD104" i="7"/>
  <c r="AD119" i="7"/>
  <c r="AD110" i="7"/>
  <c r="AD117" i="7"/>
  <c r="AD124" i="7"/>
  <c r="AD108" i="7"/>
  <c r="AD111" i="7"/>
  <c r="AD122" i="7"/>
  <c r="AD106" i="7"/>
  <c r="AD113" i="7"/>
  <c r="AD120" i="7"/>
  <c r="Z125" i="7"/>
  <c r="Z121" i="7"/>
  <c r="Z117" i="7"/>
  <c r="Z113" i="7"/>
  <c r="Z109" i="7"/>
  <c r="Z105" i="7"/>
  <c r="Z124" i="7"/>
  <c r="Z120" i="7"/>
  <c r="Z116" i="7"/>
  <c r="Z112" i="7"/>
  <c r="Z108" i="7"/>
  <c r="Z104" i="7"/>
  <c r="Z122" i="7"/>
  <c r="Z110" i="7"/>
  <c r="Z123" i="7"/>
  <c r="Z119" i="7"/>
  <c r="Z115" i="7"/>
  <c r="Z111" i="7"/>
  <c r="Z107" i="7"/>
  <c r="Z103" i="7"/>
  <c r="Z118" i="7"/>
  <c r="Z114" i="7"/>
  <c r="Z106" i="7"/>
  <c r="T103" i="7"/>
  <c r="T105" i="7"/>
  <c r="T107" i="7"/>
  <c r="T109" i="7"/>
  <c r="T111" i="7"/>
  <c r="T113" i="7"/>
  <c r="T115" i="7"/>
  <c r="T117" i="7"/>
  <c r="T119" i="7"/>
  <c r="T121" i="7"/>
  <c r="T123" i="7"/>
  <c r="T125" i="7"/>
  <c r="U119" i="7"/>
  <c r="U121" i="7"/>
  <c r="U123" i="7"/>
  <c r="T122" i="7"/>
  <c r="T124" i="7"/>
  <c r="U104" i="7"/>
  <c r="U110" i="7"/>
  <c r="U116" i="7"/>
  <c r="U124" i="7"/>
  <c r="U103" i="7"/>
  <c r="U105" i="7"/>
  <c r="U107" i="7"/>
  <c r="U109" i="7"/>
  <c r="U111" i="7"/>
  <c r="U113" i="7"/>
  <c r="U115" i="7"/>
  <c r="U117" i="7"/>
  <c r="U125" i="7"/>
  <c r="U108" i="7"/>
  <c r="U112" i="7"/>
  <c r="U118" i="7"/>
  <c r="U122" i="7"/>
  <c r="T104" i="7"/>
  <c r="T106" i="7"/>
  <c r="T108" i="7"/>
  <c r="T110" i="7"/>
  <c r="T112" i="7"/>
  <c r="T114" i="7"/>
  <c r="T116" i="7"/>
  <c r="T118" i="7"/>
  <c r="T120" i="7"/>
  <c r="U106" i="7"/>
  <c r="U114" i="7"/>
  <c r="U120" i="7"/>
  <c r="AF103" i="7"/>
  <c r="AF107" i="7"/>
  <c r="AF111" i="7"/>
  <c r="AF115" i="7"/>
  <c r="AF119" i="7"/>
  <c r="AF123" i="7"/>
  <c r="AI104" i="7"/>
  <c r="AI108" i="7"/>
  <c r="AI112" i="7"/>
  <c r="AI116" i="7"/>
  <c r="AI120" i="7"/>
  <c r="AI124" i="7"/>
  <c r="AH105" i="7"/>
  <c r="AH109" i="7"/>
  <c r="AH113" i="7"/>
  <c r="AH117" i="7"/>
  <c r="AH121" i="7"/>
  <c r="AH125" i="7"/>
  <c r="AG106" i="7"/>
  <c r="AG110" i="7"/>
  <c r="AG114" i="7"/>
  <c r="AG118" i="7"/>
  <c r="AG122" i="7"/>
  <c r="AG111" i="7"/>
  <c r="AG119" i="7"/>
  <c r="AG120" i="7"/>
  <c r="AG124" i="7"/>
  <c r="AF110" i="7"/>
  <c r="AI111" i="7"/>
  <c r="AH112" i="7"/>
  <c r="AG109" i="7"/>
  <c r="AF104" i="7"/>
  <c r="AF108" i="7"/>
  <c r="AF112" i="7"/>
  <c r="AF116" i="7"/>
  <c r="AF120" i="7"/>
  <c r="AF124" i="7"/>
  <c r="AI105" i="7"/>
  <c r="AI109" i="7"/>
  <c r="AI113" i="7"/>
  <c r="AI117" i="7"/>
  <c r="AI121" i="7"/>
  <c r="AI125" i="7"/>
  <c r="AH106" i="7"/>
  <c r="AH110" i="7"/>
  <c r="AH114" i="7"/>
  <c r="AH118" i="7"/>
  <c r="AH122" i="7"/>
  <c r="AG103" i="7"/>
  <c r="AG107" i="7"/>
  <c r="AG115" i="7"/>
  <c r="AG123" i="7"/>
  <c r="AF114" i="7"/>
  <c r="AI107" i="7"/>
  <c r="AI115" i="7"/>
  <c r="AI123" i="7"/>
  <c r="AH108" i="7"/>
  <c r="AH120" i="7"/>
  <c r="AG105" i="7"/>
  <c r="AG117" i="7"/>
  <c r="AG125" i="7"/>
  <c r="AF105" i="7"/>
  <c r="AF109" i="7"/>
  <c r="AF113" i="7"/>
  <c r="AF117" i="7"/>
  <c r="AF121" i="7"/>
  <c r="AF125" i="7"/>
  <c r="AI106" i="7"/>
  <c r="AI110" i="7"/>
  <c r="AI114" i="7"/>
  <c r="AI118" i="7"/>
  <c r="AI122" i="7"/>
  <c r="AH103" i="7"/>
  <c r="AH107" i="7"/>
  <c r="AH111" i="7"/>
  <c r="AH115" i="7"/>
  <c r="AH119" i="7"/>
  <c r="AH123" i="7"/>
  <c r="AG104" i="7"/>
  <c r="AG108" i="7"/>
  <c r="AG112" i="7"/>
  <c r="AG116" i="7"/>
  <c r="AF106" i="7"/>
  <c r="AF118" i="7"/>
  <c r="AF122" i="7"/>
  <c r="AI103" i="7"/>
  <c r="AI119" i="7"/>
  <c r="AH104" i="7"/>
  <c r="AH116" i="7"/>
  <c r="AH124" i="7"/>
  <c r="AG113" i="7"/>
  <c r="AG121" i="7"/>
  <c r="AB103" i="7"/>
  <c r="AB107" i="7"/>
  <c r="AB111" i="7"/>
  <c r="AB115" i="7"/>
  <c r="AB119" i="7"/>
  <c r="AB123" i="7"/>
  <c r="AA104" i="7"/>
  <c r="AA108" i="7"/>
  <c r="AA112" i="7"/>
  <c r="AA116" i="7"/>
  <c r="AA120" i="7"/>
  <c r="AA124" i="7"/>
  <c r="Y105" i="7"/>
  <c r="Y109" i="7"/>
  <c r="Y113" i="7"/>
  <c r="Y117" i="7"/>
  <c r="Y121" i="7"/>
  <c r="Y125" i="7"/>
  <c r="W103" i="7"/>
  <c r="W107" i="7"/>
  <c r="W111" i="7"/>
  <c r="W115" i="7"/>
  <c r="W119" i="7"/>
  <c r="W123" i="7"/>
  <c r="V104" i="7"/>
  <c r="V108" i="7"/>
  <c r="V112" i="7"/>
  <c r="V116" i="7"/>
  <c r="V120" i="7"/>
  <c r="V124" i="7"/>
  <c r="S105" i="7"/>
  <c r="S109" i="7"/>
  <c r="S113" i="7"/>
  <c r="S117" i="7"/>
  <c r="S121" i="7"/>
  <c r="S125" i="7"/>
  <c r="R106" i="7"/>
  <c r="R110" i="7"/>
  <c r="R114" i="7"/>
  <c r="R118" i="7"/>
  <c r="R122" i="7"/>
  <c r="Q103" i="7"/>
  <c r="Q107" i="7"/>
  <c r="Q111" i="7"/>
  <c r="Q115" i="7"/>
  <c r="Q119" i="7"/>
  <c r="Q123" i="7"/>
  <c r="P104" i="7"/>
  <c r="P108" i="7"/>
  <c r="P112" i="7"/>
  <c r="P116" i="7"/>
  <c r="P120" i="7"/>
  <c r="P124" i="7"/>
  <c r="O105" i="7"/>
  <c r="O109" i="7"/>
  <c r="O113" i="7"/>
  <c r="O117" i="7"/>
  <c r="O121" i="7"/>
  <c r="O125" i="7"/>
  <c r="Q109" i="7"/>
  <c r="P106" i="7"/>
  <c r="P118" i="7"/>
  <c r="P122" i="7"/>
  <c r="O103" i="7"/>
  <c r="O115" i="7"/>
  <c r="O123" i="7"/>
  <c r="AB110" i="7"/>
  <c r="W118" i="7"/>
  <c r="V103" i="7"/>
  <c r="V111" i="7"/>
  <c r="V123" i="7"/>
  <c r="S104" i="7"/>
  <c r="S116" i="7"/>
  <c r="S120" i="7"/>
  <c r="S124" i="7"/>
  <c r="R113" i="7"/>
  <c r="R117" i="7"/>
  <c r="R121" i="7"/>
  <c r="Q106" i="7"/>
  <c r="AB104" i="7"/>
  <c r="AB108" i="7"/>
  <c r="AB112" i="7"/>
  <c r="AB116" i="7"/>
  <c r="AB120" i="7"/>
  <c r="AB124" i="7"/>
  <c r="AA105" i="7"/>
  <c r="AA109" i="7"/>
  <c r="AA113" i="7"/>
  <c r="AA117" i="7"/>
  <c r="AA121" i="7"/>
  <c r="AA125" i="7"/>
  <c r="Y106" i="7"/>
  <c r="Y110" i="7"/>
  <c r="Y114" i="7"/>
  <c r="Y118" i="7"/>
  <c r="Y122" i="7"/>
  <c r="W104" i="7"/>
  <c r="W108" i="7"/>
  <c r="W112" i="7"/>
  <c r="W116" i="7"/>
  <c r="W120" i="7"/>
  <c r="W124" i="7"/>
  <c r="V105" i="7"/>
  <c r="V109" i="7"/>
  <c r="V113" i="7"/>
  <c r="V117" i="7"/>
  <c r="V121" i="7"/>
  <c r="V125" i="7"/>
  <c r="S106" i="7"/>
  <c r="S110" i="7"/>
  <c r="S114" i="7"/>
  <c r="S118" i="7"/>
  <c r="S122" i="7"/>
  <c r="R103" i="7"/>
  <c r="R107" i="7"/>
  <c r="R111" i="7"/>
  <c r="R115" i="7"/>
  <c r="R119" i="7"/>
  <c r="R123" i="7"/>
  <c r="Q104" i="7"/>
  <c r="Q108" i="7"/>
  <c r="Q112" i="7"/>
  <c r="Q116" i="7"/>
  <c r="Q120" i="7"/>
  <c r="Q124" i="7"/>
  <c r="P105" i="7"/>
  <c r="P109" i="7"/>
  <c r="P113" i="7"/>
  <c r="P117" i="7"/>
  <c r="P121" i="7"/>
  <c r="P125" i="7"/>
  <c r="O106" i="7"/>
  <c r="O110" i="7"/>
  <c r="O114" i="7"/>
  <c r="O118" i="7"/>
  <c r="O122" i="7"/>
  <c r="Q105" i="7"/>
  <c r="Q117" i="7"/>
  <c r="Q125" i="7"/>
  <c r="P114" i="7"/>
  <c r="O111" i="7"/>
  <c r="O119" i="7"/>
  <c r="AB106" i="7"/>
  <c r="W114" i="7"/>
  <c r="V107" i="7"/>
  <c r="V119" i="7"/>
  <c r="S112" i="7"/>
  <c r="R109" i="7"/>
  <c r="Q110" i="7"/>
  <c r="AB105" i="7"/>
  <c r="AB109" i="7"/>
  <c r="AB113" i="7"/>
  <c r="AB117" i="7"/>
  <c r="AB121" i="7"/>
  <c r="AB125" i="7"/>
  <c r="AA106" i="7"/>
  <c r="AA110" i="7"/>
  <c r="AA114" i="7"/>
  <c r="AA118" i="7"/>
  <c r="AA122" i="7"/>
  <c r="Y103" i="7"/>
  <c r="Y107" i="7"/>
  <c r="Y111" i="7"/>
  <c r="Y115" i="7"/>
  <c r="Y119" i="7"/>
  <c r="Y123" i="7"/>
  <c r="W105" i="7"/>
  <c r="W109" i="7"/>
  <c r="W113" i="7"/>
  <c r="W117" i="7"/>
  <c r="W121" i="7"/>
  <c r="W125" i="7"/>
  <c r="V106" i="7"/>
  <c r="V110" i="7"/>
  <c r="V114" i="7"/>
  <c r="V118" i="7"/>
  <c r="V122" i="7"/>
  <c r="S103" i="7"/>
  <c r="S107" i="7"/>
  <c r="S111" i="7"/>
  <c r="S115" i="7"/>
  <c r="S119" i="7"/>
  <c r="S123" i="7"/>
  <c r="R104" i="7"/>
  <c r="R108" i="7"/>
  <c r="R112" i="7"/>
  <c r="R116" i="7"/>
  <c r="R120" i="7"/>
  <c r="R124" i="7"/>
  <c r="Q113" i="7"/>
  <c r="Q121" i="7"/>
  <c r="P110" i="7"/>
  <c r="O107" i="7"/>
  <c r="AB114" i="7"/>
  <c r="AB118" i="7"/>
  <c r="AB122" i="7"/>
  <c r="AA103" i="7"/>
  <c r="AA107" i="7"/>
  <c r="AA111" i="7"/>
  <c r="AA115" i="7"/>
  <c r="AA119" i="7"/>
  <c r="AA123" i="7"/>
  <c r="Y104" i="7"/>
  <c r="Y108" i="7"/>
  <c r="Y112" i="7"/>
  <c r="Y116" i="7"/>
  <c r="Y120" i="7"/>
  <c r="Y124" i="7"/>
  <c r="W106" i="7"/>
  <c r="W110" i="7"/>
  <c r="W122" i="7"/>
  <c r="V115" i="7"/>
  <c r="S108" i="7"/>
  <c r="R105" i="7"/>
  <c r="R125" i="7"/>
  <c r="Q114" i="7"/>
  <c r="P107" i="7"/>
  <c r="P123" i="7"/>
  <c r="O116" i="7"/>
  <c r="O124" i="7"/>
  <c r="P103" i="7"/>
  <c r="Q118" i="7"/>
  <c r="P111" i="7"/>
  <c r="O104" i="7"/>
  <c r="O120" i="7"/>
  <c r="Q122" i="7"/>
  <c r="O108" i="7"/>
  <c r="P119" i="7"/>
  <c r="P115" i="7"/>
  <c r="O112" i="7"/>
  <c r="AB6" i="5"/>
  <c r="D129" i="2" l="1"/>
  <c r="E129" i="2"/>
  <c r="F129" i="2"/>
  <c r="G129" i="2"/>
  <c r="H129" i="2"/>
  <c r="I129" i="2"/>
  <c r="J129" i="2"/>
  <c r="K129" i="2"/>
  <c r="L129" i="2"/>
  <c r="M129" i="2"/>
  <c r="N129" i="2"/>
  <c r="D130" i="2"/>
  <c r="E130" i="2"/>
  <c r="F130" i="2"/>
  <c r="G130" i="2"/>
  <c r="H130" i="2"/>
  <c r="I130" i="2"/>
  <c r="J130" i="2"/>
  <c r="K130" i="2"/>
  <c r="L130" i="2"/>
  <c r="M130" i="2"/>
  <c r="N130" i="2"/>
  <c r="D131" i="2"/>
  <c r="E131" i="2"/>
  <c r="F131" i="2"/>
  <c r="G131" i="2"/>
  <c r="H131" i="2"/>
  <c r="I131" i="2"/>
  <c r="J131" i="2"/>
  <c r="K131" i="2"/>
  <c r="L131" i="2"/>
  <c r="M131" i="2"/>
  <c r="N131" i="2"/>
  <c r="D132" i="2"/>
  <c r="E132" i="2"/>
  <c r="F132" i="2"/>
  <c r="G132" i="2"/>
  <c r="H132" i="2"/>
  <c r="I132" i="2"/>
  <c r="J132" i="2"/>
  <c r="K132" i="2"/>
  <c r="L132" i="2"/>
  <c r="M132" i="2"/>
  <c r="N132" i="2"/>
  <c r="D133" i="2"/>
  <c r="E133" i="2"/>
  <c r="F133" i="2"/>
  <c r="G133" i="2"/>
  <c r="H133" i="2"/>
  <c r="I133" i="2"/>
  <c r="J133" i="2"/>
  <c r="K133" i="2"/>
  <c r="L133" i="2"/>
  <c r="M133" i="2"/>
  <c r="N133" i="2"/>
  <c r="D134" i="2"/>
  <c r="E134" i="2"/>
  <c r="F134" i="2"/>
  <c r="G134" i="2"/>
  <c r="H134" i="2"/>
  <c r="I134" i="2"/>
  <c r="J134" i="2"/>
  <c r="K134" i="2"/>
  <c r="L134" i="2"/>
  <c r="M134" i="2"/>
  <c r="N134" i="2"/>
  <c r="D135" i="2"/>
  <c r="E135" i="2"/>
  <c r="F135" i="2"/>
  <c r="G135" i="2"/>
  <c r="H135" i="2"/>
  <c r="I135" i="2"/>
  <c r="J135" i="2"/>
  <c r="K135" i="2"/>
  <c r="L135" i="2"/>
  <c r="M135" i="2"/>
  <c r="N135" i="2"/>
  <c r="D136" i="2"/>
  <c r="E136" i="2"/>
  <c r="F136" i="2"/>
  <c r="G136" i="2"/>
  <c r="H136" i="2"/>
  <c r="I136" i="2"/>
  <c r="J136" i="2"/>
  <c r="K136" i="2"/>
  <c r="L136" i="2"/>
  <c r="M136" i="2"/>
  <c r="N136" i="2"/>
  <c r="D137" i="2"/>
  <c r="E137" i="2"/>
  <c r="F137" i="2"/>
  <c r="G137" i="2"/>
  <c r="H137" i="2"/>
  <c r="I137" i="2"/>
  <c r="J137" i="2"/>
  <c r="K137" i="2"/>
  <c r="L137" i="2"/>
  <c r="M137" i="2"/>
  <c r="N137" i="2"/>
  <c r="E128" i="2"/>
  <c r="F128" i="2"/>
  <c r="G128" i="2"/>
  <c r="H128" i="2"/>
  <c r="I128" i="2"/>
  <c r="J128" i="2"/>
  <c r="K128" i="2"/>
  <c r="L128" i="2"/>
  <c r="M128" i="2"/>
  <c r="N128" i="2"/>
  <c r="D128" i="2"/>
  <c r="Y20" i="5" l="1"/>
  <c r="AC24" i="5"/>
  <c r="AC23" i="5"/>
  <c r="AC22" i="5"/>
  <c r="AC21" i="5"/>
  <c r="AC20" i="5"/>
  <c r="Y24" i="5"/>
  <c r="Y23" i="5"/>
  <c r="Y22" i="5"/>
  <c r="Y21" i="5"/>
  <c r="O24" i="5"/>
  <c r="O23" i="5"/>
  <c r="O22" i="5"/>
  <c r="O21" i="5"/>
  <c r="B28" i="5"/>
  <c r="B31" i="5" l="1"/>
  <c r="AA40" i="5" l="1"/>
  <c r="B24" i="5" l="1"/>
  <c r="AB19" i="5" l="1"/>
  <c r="E18" i="9" l="1"/>
  <c r="AF27" i="5"/>
  <c r="P32" i="5" l="1"/>
  <c r="AF43" i="5"/>
  <c r="AT58" i="5" l="1"/>
  <c r="BF43" i="5" l="1"/>
  <c r="AN10" i="5" l="1"/>
  <c r="P4" i="11" l="1"/>
  <c r="J4" i="11"/>
  <c r="P3" i="11"/>
  <c r="J3" i="11"/>
  <c r="P2" i="11"/>
  <c r="J2" i="11"/>
  <c r="BB28" i="10"/>
  <c r="BC28" i="10" s="1"/>
  <c r="AW28" i="10"/>
  <c r="AX28" i="10" s="1"/>
  <c r="AX27" i="10" s="1"/>
  <c r="AV28" i="10"/>
  <c r="AV27" i="10" s="1"/>
  <c r="AP28" i="10"/>
  <c r="AP27" i="10" s="1"/>
  <c r="AJ28" i="10"/>
  <c r="AD28" i="10"/>
  <c r="AE28" i="10" s="1"/>
  <c r="X28" i="10"/>
  <c r="X27" i="10" s="1"/>
  <c r="R28" i="10"/>
  <c r="S28" i="10" s="1"/>
  <c r="L28" i="10"/>
  <c r="F28" i="10"/>
  <c r="G28" i="10" s="1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B27" i="10"/>
  <c r="BA27" i="10"/>
  <c r="AZ27" i="10"/>
  <c r="AY27" i="10"/>
  <c r="AU27" i="10"/>
  <c r="AT27" i="10"/>
  <c r="AS27" i="10"/>
  <c r="AO27" i="10"/>
  <c r="AN27" i="10"/>
  <c r="AM27" i="10"/>
  <c r="AI27" i="10"/>
  <c r="AH27" i="10"/>
  <c r="AG27" i="10"/>
  <c r="AD27" i="10"/>
  <c r="AC27" i="10"/>
  <c r="AB27" i="10"/>
  <c r="AA27" i="10"/>
  <c r="W27" i="10"/>
  <c r="V27" i="10"/>
  <c r="U27" i="10"/>
  <c r="R27" i="10"/>
  <c r="Q27" i="10"/>
  <c r="P27" i="10"/>
  <c r="O27" i="10"/>
  <c r="K27" i="10"/>
  <c r="J27" i="10"/>
  <c r="I27" i="10"/>
  <c r="F27" i="10"/>
  <c r="E27" i="10"/>
  <c r="D27" i="10"/>
  <c r="C27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Y13" i="10" s="1"/>
  <c r="AB5" i="10"/>
  <c r="X13" i="10" s="1"/>
  <c r="AC2" i="10"/>
  <c r="AB2" i="10"/>
  <c r="Y2" i="10"/>
  <c r="X2" i="10"/>
  <c r="W2" i="10"/>
  <c r="V2" i="10"/>
  <c r="U2" i="10"/>
  <c r="T2" i="10"/>
  <c r="S2" i="10"/>
  <c r="R2" i="10"/>
  <c r="Q2" i="10"/>
  <c r="F1" i="10"/>
  <c r="C1" i="10"/>
  <c r="B32" i="9"/>
  <c r="W14" i="9"/>
  <c r="U14" i="9"/>
  <c r="W13" i="9"/>
  <c r="U13" i="9"/>
  <c r="AB12" i="9"/>
  <c r="AB11" i="9"/>
  <c r="B11" i="9"/>
  <c r="AB9" i="9"/>
  <c r="AB6" i="9"/>
  <c r="V5" i="9"/>
  <c r="P5" i="9"/>
  <c r="K5" i="9"/>
  <c r="AB4" i="9"/>
  <c r="V4" i="9"/>
  <c r="X2" i="9"/>
  <c r="E2" i="9"/>
  <c r="AW236" i="8"/>
  <c r="AW237" i="8"/>
  <c r="AW235" i="8"/>
  <c r="AW234" i="8"/>
  <c r="AW233" i="8"/>
  <c r="AW232" i="8"/>
  <c r="AW231" i="8"/>
  <c r="AW230" i="8"/>
  <c r="AW229" i="8"/>
  <c r="AW228" i="8"/>
  <c r="D132" i="7"/>
  <c r="D102" i="7"/>
  <c r="AM102" i="7" s="1"/>
  <c r="D101" i="7"/>
  <c r="AM101" i="7" s="1"/>
  <c r="D100" i="7"/>
  <c r="AM100" i="7" s="1"/>
  <c r="D99" i="7"/>
  <c r="AM99" i="7" s="1"/>
  <c r="D98" i="7"/>
  <c r="AM98" i="7" s="1"/>
  <c r="D97" i="7"/>
  <c r="AM97" i="7" s="1"/>
  <c r="D96" i="7"/>
  <c r="AM96" i="7" s="1"/>
  <c r="D95" i="7"/>
  <c r="AM95" i="7" s="1"/>
  <c r="D94" i="7"/>
  <c r="AM94" i="7" s="1"/>
  <c r="D93" i="7"/>
  <c r="AM93" i="7" s="1"/>
  <c r="D92" i="7"/>
  <c r="AM92" i="7" s="1"/>
  <c r="D91" i="7"/>
  <c r="AM91" i="7" s="1"/>
  <c r="D90" i="7"/>
  <c r="AM90" i="7" s="1"/>
  <c r="D89" i="7"/>
  <c r="AM89" i="7" s="1"/>
  <c r="D88" i="7"/>
  <c r="AM88" i="7" s="1"/>
  <c r="D87" i="7"/>
  <c r="AM87" i="7" s="1"/>
  <c r="D86" i="7"/>
  <c r="AM86" i="7" s="1"/>
  <c r="D85" i="7"/>
  <c r="AM85" i="7" s="1"/>
  <c r="D84" i="7"/>
  <c r="AM84" i="7" s="1"/>
  <c r="D83" i="7"/>
  <c r="AM83" i="7" s="1"/>
  <c r="D82" i="7"/>
  <c r="AM82" i="7" s="1"/>
  <c r="D81" i="7"/>
  <c r="AM81" i="7" s="1"/>
  <c r="D80" i="7"/>
  <c r="AM80" i="7" s="1"/>
  <c r="D79" i="7"/>
  <c r="AM79" i="7" s="1"/>
  <c r="D78" i="7"/>
  <c r="AM78" i="7" s="1"/>
  <c r="D77" i="7"/>
  <c r="AM77" i="7" s="1"/>
  <c r="D76" i="7"/>
  <c r="AM76" i="7" s="1"/>
  <c r="D75" i="7"/>
  <c r="AM75" i="7" s="1"/>
  <c r="D74" i="7"/>
  <c r="AM74" i="7" s="1"/>
  <c r="D73" i="7"/>
  <c r="AM73" i="7" s="1"/>
  <c r="D72" i="7"/>
  <c r="AM72" i="7" s="1"/>
  <c r="D71" i="7"/>
  <c r="AM71" i="7" s="1"/>
  <c r="D70" i="7"/>
  <c r="AM70" i="7" s="1"/>
  <c r="D69" i="7"/>
  <c r="AM69" i="7" s="1"/>
  <c r="D68" i="7"/>
  <c r="AM68" i="7" s="1"/>
  <c r="D67" i="7"/>
  <c r="AM67" i="7" s="1"/>
  <c r="D66" i="7"/>
  <c r="AM66" i="7" s="1"/>
  <c r="D65" i="7"/>
  <c r="AM65" i="7" s="1"/>
  <c r="D64" i="7"/>
  <c r="AM64" i="7" s="1"/>
  <c r="D63" i="7"/>
  <c r="AM63" i="7" s="1"/>
  <c r="D62" i="7"/>
  <c r="AM62" i="7" s="1"/>
  <c r="D61" i="7"/>
  <c r="AM61" i="7" s="1"/>
  <c r="D60" i="7"/>
  <c r="AM60" i="7" s="1"/>
  <c r="D59" i="7"/>
  <c r="AM59" i="7" s="1"/>
  <c r="D58" i="7"/>
  <c r="AM58" i="7" s="1"/>
  <c r="D57" i="7"/>
  <c r="AM57" i="7" s="1"/>
  <c r="D56" i="7"/>
  <c r="AM56" i="7" s="1"/>
  <c r="D55" i="7"/>
  <c r="AM55" i="7" s="1"/>
  <c r="D54" i="7"/>
  <c r="AM54" i="7" s="1"/>
  <c r="D53" i="7"/>
  <c r="AM53" i="7" s="1"/>
  <c r="D52" i="7"/>
  <c r="AM52" i="7" s="1"/>
  <c r="D51" i="7"/>
  <c r="AM51" i="7" s="1"/>
  <c r="D50" i="7"/>
  <c r="AM50" i="7" s="1"/>
  <c r="D49" i="7"/>
  <c r="AM49" i="7" s="1"/>
  <c r="D48" i="7"/>
  <c r="AM48" i="7" s="1"/>
  <c r="D47" i="7"/>
  <c r="AM47" i="7" s="1"/>
  <c r="D46" i="7"/>
  <c r="AM46" i="7" s="1"/>
  <c r="D45" i="7"/>
  <c r="AM45" i="7" s="1"/>
  <c r="D44" i="7"/>
  <c r="AM44" i="7" s="1"/>
  <c r="D43" i="7"/>
  <c r="AM43" i="7" s="1"/>
  <c r="D42" i="7"/>
  <c r="AM42" i="7" s="1"/>
  <c r="D41" i="7"/>
  <c r="AM41" i="7" s="1"/>
  <c r="D40" i="7"/>
  <c r="AM40" i="7" s="1"/>
  <c r="D39" i="7"/>
  <c r="AM39" i="7" s="1"/>
  <c r="D38" i="7"/>
  <c r="AM38" i="7" s="1"/>
  <c r="D37" i="7"/>
  <c r="AM37" i="7" s="1"/>
  <c r="D36" i="7"/>
  <c r="AM36" i="7" s="1"/>
  <c r="D35" i="7"/>
  <c r="AM35" i="7" s="1"/>
  <c r="D34" i="7"/>
  <c r="AM34" i="7" s="1"/>
  <c r="D33" i="7"/>
  <c r="AM33" i="7" s="1"/>
  <c r="D32" i="7"/>
  <c r="AM32" i="7" s="1"/>
  <c r="D31" i="7"/>
  <c r="AM31" i="7" s="1"/>
  <c r="D30" i="7"/>
  <c r="AM30" i="7" s="1"/>
  <c r="D29" i="7"/>
  <c r="AM29" i="7" s="1"/>
  <c r="D28" i="7"/>
  <c r="AM28" i="7" s="1"/>
  <c r="D27" i="7"/>
  <c r="AM27" i="7" s="1"/>
  <c r="D26" i="7"/>
  <c r="AM26" i="7" s="1"/>
  <c r="D25" i="7"/>
  <c r="AM25" i="7" s="1"/>
  <c r="D24" i="7"/>
  <c r="AM24" i="7" s="1"/>
  <c r="D23" i="7"/>
  <c r="AM23" i="7" s="1"/>
  <c r="D22" i="7"/>
  <c r="AM22" i="7" s="1"/>
  <c r="D21" i="7"/>
  <c r="AM21" i="7" s="1"/>
  <c r="D20" i="7"/>
  <c r="AM20" i="7" s="1"/>
  <c r="D19" i="7"/>
  <c r="AM19" i="7" s="1"/>
  <c r="D18" i="7"/>
  <c r="AM18" i="7" s="1"/>
  <c r="D17" i="7"/>
  <c r="AM17" i="7" s="1"/>
  <c r="D16" i="7"/>
  <c r="AM16" i="7" s="1"/>
  <c r="D15" i="7"/>
  <c r="AM15" i="7" s="1"/>
  <c r="D14" i="7"/>
  <c r="AM14" i="7" s="1"/>
  <c r="D13" i="7"/>
  <c r="AM13" i="7" s="1"/>
  <c r="D12" i="7"/>
  <c r="AM12" i="7" s="1"/>
  <c r="D11" i="7"/>
  <c r="AM11" i="7" s="1"/>
  <c r="D10" i="7"/>
  <c r="AM10" i="7" s="1"/>
  <c r="B10" i="7"/>
  <c r="D9" i="7"/>
  <c r="AM9" i="7" s="1"/>
  <c r="D8" i="7"/>
  <c r="AM8" i="7" s="1"/>
  <c r="D7" i="7"/>
  <c r="AM7" i="7" s="1"/>
  <c r="D6" i="7"/>
  <c r="AM6" i="7" s="1"/>
  <c r="D5" i="7"/>
  <c r="D4" i="7"/>
  <c r="AM4" i="7" s="1"/>
  <c r="D3" i="7"/>
  <c r="BE86" i="5"/>
  <c r="BF85" i="5"/>
  <c r="BB68" i="5"/>
  <c r="BG67" i="5"/>
  <c r="BF67" i="5"/>
  <c r="BE67" i="5"/>
  <c r="BD67" i="5"/>
  <c r="AY50" i="5"/>
  <c r="AX48" i="5"/>
  <c r="AY48" i="5" s="1"/>
  <c r="AF44" i="5"/>
  <c r="AA39" i="5"/>
  <c r="AA38" i="5"/>
  <c r="J33" i="5"/>
  <c r="W28" i="9" s="1"/>
  <c r="E33" i="5"/>
  <c r="Q28" i="9" s="1"/>
  <c r="W27" i="9"/>
  <c r="J32" i="5"/>
  <c r="Q27" i="9" s="1"/>
  <c r="AY32" i="5"/>
  <c r="B26" i="9"/>
  <c r="BB29" i="5"/>
  <c r="BG25" i="5"/>
  <c r="BF25" i="5"/>
  <c r="BE25" i="5"/>
  <c r="BD25" i="5"/>
  <c r="AF26" i="5"/>
  <c r="BF21" i="5"/>
  <c r="AU20" i="5"/>
  <c r="T19" i="5"/>
  <c r="J19" i="5"/>
  <c r="BI17" i="5"/>
  <c r="AA16" i="5"/>
  <c r="P16" i="5"/>
  <c r="AN14" i="5"/>
  <c r="AN12" i="5"/>
  <c r="U11" i="9"/>
  <c r="AW9" i="5"/>
  <c r="AI10" i="5"/>
  <c r="AF10" i="5"/>
  <c r="E8" i="5"/>
  <c r="E9" i="9" s="1"/>
  <c r="B8" i="5"/>
  <c r="AN7" i="5"/>
  <c r="E7" i="5"/>
  <c r="D8" i="9" s="1"/>
  <c r="AW6" i="5"/>
  <c r="BB4" i="5"/>
  <c r="W4" i="5"/>
  <c r="BG3" i="5"/>
  <c r="BF3" i="5"/>
  <c r="BE3" i="5"/>
  <c r="BD3" i="5"/>
  <c r="BC3" i="5"/>
  <c r="AQ3" i="5"/>
  <c r="N4" i="9"/>
  <c r="R4" i="2"/>
  <c r="N3" i="2"/>
  <c r="M3" i="2"/>
  <c r="L3" i="2"/>
  <c r="K3" i="2"/>
  <c r="J3" i="2"/>
  <c r="I3" i="2"/>
  <c r="H3" i="2"/>
  <c r="G3" i="2"/>
  <c r="F3" i="2"/>
  <c r="E3" i="2"/>
  <c r="D3" i="2"/>
  <c r="Y28" i="10" l="1"/>
  <c r="Y27" i="10" s="1"/>
  <c r="AL5" i="7"/>
  <c r="AM5" i="7"/>
  <c r="AL3" i="7"/>
  <c r="AM3" i="7"/>
  <c r="AK7" i="7"/>
  <c r="AL7" i="7"/>
  <c r="AK10" i="7"/>
  <c r="AL10" i="7"/>
  <c r="AK14" i="7"/>
  <c r="AL14" i="7"/>
  <c r="AK18" i="7"/>
  <c r="AL18" i="7"/>
  <c r="AK22" i="7"/>
  <c r="AL22" i="7"/>
  <c r="AK26" i="7"/>
  <c r="AL26" i="7"/>
  <c r="AK30" i="7"/>
  <c r="AL30" i="7"/>
  <c r="AK34" i="7"/>
  <c r="AL34" i="7"/>
  <c r="AK38" i="7"/>
  <c r="AL38" i="7"/>
  <c r="AK42" i="7"/>
  <c r="AL42" i="7"/>
  <c r="AK46" i="7"/>
  <c r="AL46" i="7"/>
  <c r="AK50" i="7"/>
  <c r="AL50" i="7"/>
  <c r="AK54" i="7"/>
  <c r="AL54" i="7"/>
  <c r="AK58" i="7"/>
  <c r="AL58" i="7"/>
  <c r="AK62" i="7"/>
  <c r="AL62" i="7"/>
  <c r="AK66" i="7"/>
  <c r="AL66" i="7"/>
  <c r="AK70" i="7"/>
  <c r="AL70" i="7"/>
  <c r="AK74" i="7"/>
  <c r="AL74" i="7"/>
  <c r="AK78" i="7"/>
  <c r="AL78" i="7"/>
  <c r="AK82" i="7"/>
  <c r="AL82" i="7"/>
  <c r="AK86" i="7"/>
  <c r="AL86" i="7"/>
  <c r="AK90" i="7"/>
  <c r="AL90" i="7"/>
  <c r="AK94" i="7"/>
  <c r="AL94" i="7"/>
  <c r="AK98" i="7"/>
  <c r="AL98" i="7"/>
  <c r="AK102" i="7"/>
  <c r="AL102" i="7"/>
  <c r="AK4" i="7"/>
  <c r="AL4" i="7"/>
  <c r="AK8" i="7"/>
  <c r="AL8" i="7"/>
  <c r="AK11" i="7"/>
  <c r="AL11" i="7"/>
  <c r="AK15" i="7"/>
  <c r="AL15" i="7"/>
  <c r="AK19" i="7"/>
  <c r="AL19" i="7"/>
  <c r="AK23" i="7"/>
  <c r="AL23" i="7"/>
  <c r="AK27" i="7"/>
  <c r="AL27" i="7"/>
  <c r="AK31" i="7"/>
  <c r="AL31" i="7"/>
  <c r="AK35" i="7"/>
  <c r="AL35" i="7"/>
  <c r="AK39" i="7"/>
  <c r="AL39" i="7"/>
  <c r="AK43" i="7"/>
  <c r="AL43" i="7"/>
  <c r="AK47" i="7"/>
  <c r="AL47" i="7"/>
  <c r="AK51" i="7"/>
  <c r="AL51" i="7"/>
  <c r="AK55" i="7"/>
  <c r="AL55" i="7"/>
  <c r="AK59" i="7"/>
  <c r="AL59" i="7"/>
  <c r="AK63" i="7"/>
  <c r="AL63" i="7"/>
  <c r="AK67" i="7"/>
  <c r="AL67" i="7"/>
  <c r="AK71" i="7"/>
  <c r="AL71" i="7"/>
  <c r="AK75" i="7"/>
  <c r="AL75" i="7"/>
  <c r="AK79" i="7"/>
  <c r="AL79" i="7"/>
  <c r="AK83" i="7"/>
  <c r="AL83" i="7"/>
  <c r="AK87" i="7"/>
  <c r="AL87" i="7"/>
  <c r="AK91" i="7"/>
  <c r="AL91" i="7"/>
  <c r="AK95" i="7"/>
  <c r="AL95" i="7"/>
  <c r="AK99" i="7"/>
  <c r="AL99" i="7"/>
  <c r="AK9" i="7"/>
  <c r="AL9" i="7"/>
  <c r="AK12" i="7"/>
  <c r="AL12" i="7"/>
  <c r="AK16" i="7"/>
  <c r="AL16" i="7"/>
  <c r="AK20" i="7"/>
  <c r="AL20" i="7"/>
  <c r="AK24" i="7"/>
  <c r="AL24" i="7"/>
  <c r="AK28" i="7"/>
  <c r="AL28" i="7"/>
  <c r="AK32" i="7"/>
  <c r="AL32" i="7"/>
  <c r="AK36" i="7"/>
  <c r="AL36" i="7"/>
  <c r="AK40" i="7"/>
  <c r="AL40" i="7"/>
  <c r="AK44" i="7"/>
  <c r="AL44" i="7"/>
  <c r="AK48" i="7"/>
  <c r="AL48" i="7"/>
  <c r="AK52" i="7"/>
  <c r="AL52" i="7"/>
  <c r="AK56" i="7"/>
  <c r="AL56" i="7"/>
  <c r="AK60" i="7"/>
  <c r="AL60" i="7"/>
  <c r="AK64" i="7"/>
  <c r="AL64" i="7"/>
  <c r="AK68" i="7"/>
  <c r="AL68" i="7"/>
  <c r="AK72" i="7"/>
  <c r="AL72" i="7"/>
  <c r="AK76" i="7"/>
  <c r="AL76" i="7"/>
  <c r="AK80" i="7"/>
  <c r="AL80" i="7"/>
  <c r="AK84" i="7"/>
  <c r="AL84" i="7"/>
  <c r="AK88" i="7"/>
  <c r="AL88" i="7"/>
  <c r="AK92" i="7"/>
  <c r="AL92" i="7"/>
  <c r="AK96" i="7"/>
  <c r="AL96" i="7"/>
  <c r="AK100" i="7"/>
  <c r="AL100" i="7"/>
  <c r="AK6" i="7"/>
  <c r="AL6" i="7"/>
  <c r="AK13" i="7"/>
  <c r="AL13" i="7"/>
  <c r="AK17" i="7"/>
  <c r="AL17" i="7"/>
  <c r="AK21" i="7"/>
  <c r="AL21" i="7"/>
  <c r="AK25" i="7"/>
  <c r="AL25" i="7"/>
  <c r="AK29" i="7"/>
  <c r="AL29" i="7"/>
  <c r="AK33" i="7"/>
  <c r="AL33" i="7"/>
  <c r="AK37" i="7"/>
  <c r="AL37" i="7"/>
  <c r="AK41" i="7"/>
  <c r="AL41" i="7"/>
  <c r="AK45" i="7"/>
  <c r="AL45" i="7"/>
  <c r="AK49" i="7"/>
  <c r="AL49" i="7"/>
  <c r="AK53" i="7"/>
  <c r="AL53" i="7"/>
  <c r="AK57" i="7"/>
  <c r="AL57" i="7"/>
  <c r="AK61" i="7"/>
  <c r="AL61" i="7"/>
  <c r="AK65" i="7"/>
  <c r="AL65" i="7"/>
  <c r="AK69" i="7"/>
  <c r="AL69" i="7"/>
  <c r="AK73" i="7"/>
  <c r="AL73" i="7"/>
  <c r="AK77" i="7"/>
  <c r="AL77" i="7"/>
  <c r="AK81" i="7"/>
  <c r="AL81" i="7"/>
  <c r="AK85" i="7"/>
  <c r="AL85" i="7"/>
  <c r="AK89" i="7"/>
  <c r="AL89" i="7"/>
  <c r="AK93" i="7"/>
  <c r="AL93" i="7"/>
  <c r="AK97" i="7"/>
  <c r="AL97" i="7"/>
  <c r="AK101" i="7"/>
  <c r="AL101" i="7"/>
  <c r="AJ5" i="7"/>
  <c r="AK5" i="7"/>
  <c r="AJ3" i="7"/>
  <c r="AK3" i="7"/>
  <c r="X7" i="7"/>
  <c r="AJ7" i="7"/>
  <c r="X10" i="7"/>
  <c r="AJ10" i="7"/>
  <c r="X14" i="7"/>
  <c r="AJ14" i="7"/>
  <c r="X18" i="7"/>
  <c r="AJ18" i="7"/>
  <c r="X22" i="7"/>
  <c r="AJ22" i="7"/>
  <c r="X26" i="7"/>
  <c r="AJ26" i="7"/>
  <c r="X30" i="7"/>
  <c r="AJ30" i="7"/>
  <c r="X34" i="7"/>
  <c r="AJ34" i="7"/>
  <c r="X38" i="7"/>
  <c r="AJ38" i="7"/>
  <c r="X42" i="7"/>
  <c r="AJ42" i="7"/>
  <c r="X46" i="7"/>
  <c r="AJ46" i="7"/>
  <c r="X50" i="7"/>
  <c r="AJ50" i="7"/>
  <c r="X54" i="7"/>
  <c r="AJ54" i="7"/>
  <c r="X58" i="7"/>
  <c r="AJ58" i="7"/>
  <c r="X62" i="7"/>
  <c r="AJ62" i="7"/>
  <c r="X66" i="7"/>
  <c r="AJ66" i="7"/>
  <c r="X70" i="7"/>
  <c r="AJ70" i="7"/>
  <c r="X74" i="7"/>
  <c r="AJ74" i="7"/>
  <c r="X78" i="7"/>
  <c r="AJ78" i="7"/>
  <c r="X82" i="7"/>
  <c r="AJ82" i="7"/>
  <c r="X86" i="7"/>
  <c r="AJ86" i="7"/>
  <c r="X90" i="7"/>
  <c r="AJ90" i="7"/>
  <c r="X94" i="7"/>
  <c r="AJ94" i="7"/>
  <c r="X98" i="7"/>
  <c r="AJ98" i="7"/>
  <c r="X102" i="7"/>
  <c r="AJ102" i="7"/>
  <c r="X4" i="7"/>
  <c r="AJ4" i="7"/>
  <c r="X8" i="7"/>
  <c r="AJ8" i="7"/>
  <c r="X11" i="7"/>
  <c r="AJ11" i="7"/>
  <c r="X15" i="7"/>
  <c r="AJ15" i="7"/>
  <c r="X19" i="7"/>
  <c r="AJ19" i="7"/>
  <c r="X23" i="7"/>
  <c r="AJ23" i="7"/>
  <c r="X27" i="7"/>
  <c r="AJ27" i="7"/>
  <c r="X31" i="7"/>
  <c r="AJ31" i="7"/>
  <c r="X35" i="7"/>
  <c r="AJ35" i="7"/>
  <c r="X39" i="7"/>
  <c r="AJ39" i="7"/>
  <c r="X43" i="7"/>
  <c r="AJ43" i="7"/>
  <c r="X47" i="7"/>
  <c r="AJ47" i="7"/>
  <c r="X51" i="7"/>
  <c r="AJ51" i="7"/>
  <c r="X55" i="7"/>
  <c r="AJ55" i="7"/>
  <c r="X59" i="7"/>
  <c r="AJ59" i="7"/>
  <c r="X63" i="7"/>
  <c r="AJ63" i="7"/>
  <c r="X67" i="7"/>
  <c r="AJ67" i="7"/>
  <c r="X71" i="7"/>
  <c r="AJ71" i="7"/>
  <c r="X75" i="7"/>
  <c r="AJ75" i="7"/>
  <c r="X79" i="7"/>
  <c r="AJ79" i="7"/>
  <c r="X83" i="7"/>
  <c r="AJ83" i="7"/>
  <c r="X87" i="7"/>
  <c r="AJ87" i="7"/>
  <c r="X91" i="7"/>
  <c r="AJ91" i="7"/>
  <c r="X95" i="7"/>
  <c r="AJ95" i="7"/>
  <c r="X99" i="7"/>
  <c r="AJ99" i="7"/>
  <c r="X9" i="7"/>
  <c r="AJ9" i="7"/>
  <c r="X12" i="7"/>
  <c r="AJ12" i="7"/>
  <c r="X16" i="7"/>
  <c r="AJ16" i="7"/>
  <c r="X20" i="7"/>
  <c r="AJ20" i="7"/>
  <c r="X24" i="7"/>
  <c r="AJ24" i="7"/>
  <c r="X28" i="7"/>
  <c r="AJ28" i="7"/>
  <c r="X32" i="7"/>
  <c r="AJ32" i="7"/>
  <c r="X36" i="7"/>
  <c r="AJ36" i="7"/>
  <c r="X40" i="7"/>
  <c r="AJ40" i="7"/>
  <c r="X44" i="7"/>
  <c r="AJ44" i="7"/>
  <c r="X48" i="7"/>
  <c r="AJ48" i="7"/>
  <c r="X52" i="7"/>
  <c r="AJ52" i="7"/>
  <c r="X56" i="7"/>
  <c r="AJ56" i="7"/>
  <c r="X60" i="7"/>
  <c r="AJ60" i="7"/>
  <c r="X64" i="7"/>
  <c r="AJ64" i="7"/>
  <c r="X68" i="7"/>
  <c r="AJ68" i="7"/>
  <c r="X72" i="7"/>
  <c r="AJ72" i="7"/>
  <c r="X76" i="7"/>
  <c r="AJ76" i="7"/>
  <c r="X80" i="7"/>
  <c r="AJ80" i="7"/>
  <c r="X84" i="7"/>
  <c r="AJ84" i="7"/>
  <c r="X88" i="7"/>
  <c r="AJ88" i="7"/>
  <c r="X92" i="7"/>
  <c r="AJ92" i="7"/>
  <c r="X96" i="7"/>
  <c r="AJ96" i="7"/>
  <c r="X100" i="7"/>
  <c r="AJ100" i="7"/>
  <c r="X6" i="7"/>
  <c r="AJ6" i="7"/>
  <c r="X13" i="7"/>
  <c r="AJ13" i="7"/>
  <c r="X17" i="7"/>
  <c r="AJ17" i="7"/>
  <c r="X21" i="7"/>
  <c r="AJ21" i="7"/>
  <c r="X25" i="7"/>
  <c r="AJ25" i="7"/>
  <c r="X29" i="7"/>
  <c r="AJ29" i="7"/>
  <c r="X33" i="7"/>
  <c r="AJ33" i="7"/>
  <c r="X37" i="7"/>
  <c r="AJ37" i="7"/>
  <c r="X41" i="7"/>
  <c r="AJ41" i="7"/>
  <c r="X45" i="7"/>
  <c r="AJ45" i="7"/>
  <c r="X49" i="7"/>
  <c r="AJ49" i="7"/>
  <c r="X53" i="7"/>
  <c r="AJ53" i="7"/>
  <c r="X57" i="7"/>
  <c r="AJ57" i="7"/>
  <c r="X61" i="7"/>
  <c r="AJ61" i="7"/>
  <c r="X65" i="7"/>
  <c r="AJ65" i="7"/>
  <c r="X69" i="7"/>
  <c r="AJ69" i="7"/>
  <c r="X73" i="7"/>
  <c r="AJ73" i="7"/>
  <c r="X77" i="7"/>
  <c r="AJ77" i="7"/>
  <c r="X81" i="7"/>
  <c r="AJ81" i="7"/>
  <c r="X85" i="7"/>
  <c r="AJ85" i="7"/>
  <c r="X89" i="7"/>
  <c r="AJ89" i="7"/>
  <c r="X93" i="7"/>
  <c r="AJ93" i="7"/>
  <c r="X97" i="7"/>
  <c r="AJ97" i="7"/>
  <c r="X101" i="7"/>
  <c r="AJ101" i="7"/>
  <c r="X3" i="7"/>
  <c r="X5" i="7"/>
  <c r="AI5" i="7"/>
  <c r="T13" i="5"/>
  <c r="BG58" i="5"/>
  <c r="BG48" i="5"/>
  <c r="BG49" i="5"/>
  <c r="BG59" i="5"/>
  <c r="AC9" i="7"/>
  <c r="AC12" i="7"/>
  <c r="AC16" i="7"/>
  <c r="AC20" i="7"/>
  <c r="AC24" i="7"/>
  <c r="AC28" i="7"/>
  <c r="AC32" i="7"/>
  <c r="AC36" i="7"/>
  <c r="AC40" i="7"/>
  <c r="AC44" i="7"/>
  <c r="AC48" i="7"/>
  <c r="AC52" i="7"/>
  <c r="AC56" i="7"/>
  <c r="AC60" i="7"/>
  <c r="AC64" i="7"/>
  <c r="AC68" i="7"/>
  <c r="AC72" i="7"/>
  <c r="AC76" i="7"/>
  <c r="AC80" i="7"/>
  <c r="AC84" i="7"/>
  <c r="AC88" i="7"/>
  <c r="AC92" i="7"/>
  <c r="AC96" i="7"/>
  <c r="AC100" i="7"/>
  <c r="AC6" i="7"/>
  <c r="AC13" i="7"/>
  <c r="AC17" i="7"/>
  <c r="AC21" i="7"/>
  <c r="AC25" i="7"/>
  <c r="AC29" i="7"/>
  <c r="AC33" i="7"/>
  <c r="AC37" i="7"/>
  <c r="AC41" i="7"/>
  <c r="AC45" i="7"/>
  <c r="AC49" i="7"/>
  <c r="AC53" i="7"/>
  <c r="AC57" i="7"/>
  <c r="AC61" i="7"/>
  <c r="AC65" i="7"/>
  <c r="AC69" i="7"/>
  <c r="AC73" i="7"/>
  <c r="AC77" i="7"/>
  <c r="AC81" i="7"/>
  <c r="AC85" i="7"/>
  <c r="AC89" i="7"/>
  <c r="AC93" i="7"/>
  <c r="AC97" i="7"/>
  <c r="AC101" i="7"/>
  <c r="AC7" i="7"/>
  <c r="AC10" i="7"/>
  <c r="AC14" i="7"/>
  <c r="AC18" i="7"/>
  <c r="AC22" i="7"/>
  <c r="AC26" i="7"/>
  <c r="AC30" i="7"/>
  <c r="AC34" i="7"/>
  <c r="AC38" i="7"/>
  <c r="AC42" i="7"/>
  <c r="AC46" i="7"/>
  <c r="AC50" i="7"/>
  <c r="AC54" i="7"/>
  <c r="AC58" i="7"/>
  <c r="AC62" i="7"/>
  <c r="AC66" i="7"/>
  <c r="AC70" i="7"/>
  <c r="AC74" i="7"/>
  <c r="AC78" i="7"/>
  <c r="AC82" i="7"/>
  <c r="AC86" i="7"/>
  <c r="AC90" i="7"/>
  <c r="AC94" i="7"/>
  <c r="AC98" i="7"/>
  <c r="AC102" i="7"/>
  <c r="AC4" i="7"/>
  <c r="AC8" i="7"/>
  <c r="AC11" i="7"/>
  <c r="AC15" i="7"/>
  <c r="AC19" i="7"/>
  <c r="AC23" i="7"/>
  <c r="AC27" i="7"/>
  <c r="AC31" i="7"/>
  <c r="AC35" i="7"/>
  <c r="AC39" i="7"/>
  <c r="AC43" i="7"/>
  <c r="AC47" i="7"/>
  <c r="AC51" i="7"/>
  <c r="AC55" i="7"/>
  <c r="AC59" i="7"/>
  <c r="AC63" i="7"/>
  <c r="AC67" i="7"/>
  <c r="AC71" i="7"/>
  <c r="AC75" i="7"/>
  <c r="AC79" i="7"/>
  <c r="AC83" i="7"/>
  <c r="AC87" i="7"/>
  <c r="AC91" i="7"/>
  <c r="AC95" i="7"/>
  <c r="AC99" i="7"/>
  <c r="AC3" i="7"/>
  <c r="AF5" i="7"/>
  <c r="AC5" i="7"/>
  <c r="AD3" i="7"/>
  <c r="Z7" i="7"/>
  <c r="AD7" i="7"/>
  <c r="Z10" i="7"/>
  <c r="AD10" i="7"/>
  <c r="Z14" i="7"/>
  <c r="AD14" i="7"/>
  <c r="Z18" i="7"/>
  <c r="AD18" i="7"/>
  <c r="Z22" i="7"/>
  <c r="AD22" i="7"/>
  <c r="Z26" i="7"/>
  <c r="AD26" i="7"/>
  <c r="Z30" i="7"/>
  <c r="AD30" i="7"/>
  <c r="Z34" i="7"/>
  <c r="AD34" i="7"/>
  <c r="Z38" i="7"/>
  <c r="AD38" i="7"/>
  <c r="Z42" i="7"/>
  <c r="AD42" i="7"/>
  <c r="Z46" i="7"/>
  <c r="AD46" i="7"/>
  <c r="Z50" i="7"/>
  <c r="AD50" i="7"/>
  <c r="Z54" i="7"/>
  <c r="AD54" i="7"/>
  <c r="Z58" i="7"/>
  <c r="AD58" i="7"/>
  <c r="Z62" i="7"/>
  <c r="AD62" i="7"/>
  <c r="Z66" i="7"/>
  <c r="AD66" i="7"/>
  <c r="Z70" i="7"/>
  <c r="AD70" i="7"/>
  <c r="Z74" i="7"/>
  <c r="AD74" i="7"/>
  <c r="Z78" i="7"/>
  <c r="AD78" i="7"/>
  <c r="Z82" i="7"/>
  <c r="AD82" i="7"/>
  <c r="Z86" i="7"/>
  <c r="AD86" i="7"/>
  <c r="Z90" i="7"/>
  <c r="AD90" i="7"/>
  <c r="Z94" i="7"/>
  <c r="AD94" i="7"/>
  <c r="Z98" i="7"/>
  <c r="AD98" i="7"/>
  <c r="Z102" i="7"/>
  <c r="AD102" i="7"/>
  <c r="Z4" i="7"/>
  <c r="AD4" i="7"/>
  <c r="Z8" i="7"/>
  <c r="AD8" i="7"/>
  <c r="Z11" i="7"/>
  <c r="AD11" i="7"/>
  <c r="Z15" i="7"/>
  <c r="AD15" i="7"/>
  <c r="Z19" i="7"/>
  <c r="AD19" i="7"/>
  <c r="Z23" i="7"/>
  <c r="AD23" i="7"/>
  <c r="Z27" i="7"/>
  <c r="AD27" i="7"/>
  <c r="Z31" i="7"/>
  <c r="AD31" i="7"/>
  <c r="Z35" i="7"/>
  <c r="AD35" i="7"/>
  <c r="Z39" i="7"/>
  <c r="AD39" i="7"/>
  <c r="Z43" i="7"/>
  <c r="AD43" i="7"/>
  <c r="Z47" i="7"/>
  <c r="AD47" i="7"/>
  <c r="Z51" i="7"/>
  <c r="AD51" i="7"/>
  <c r="Z55" i="7"/>
  <c r="AD55" i="7"/>
  <c r="Z59" i="7"/>
  <c r="AD59" i="7"/>
  <c r="Z63" i="7"/>
  <c r="AD63" i="7"/>
  <c r="Z67" i="7"/>
  <c r="AD67" i="7"/>
  <c r="Z71" i="7"/>
  <c r="AD71" i="7"/>
  <c r="Z75" i="7"/>
  <c r="AD75" i="7"/>
  <c r="Z79" i="7"/>
  <c r="AD79" i="7"/>
  <c r="Z83" i="7"/>
  <c r="AD83" i="7"/>
  <c r="Z87" i="7"/>
  <c r="AD87" i="7"/>
  <c r="Z91" i="7"/>
  <c r="AD91" i="7"/>
  <c r="Z95" i="7"/>
  <c r="AD95" i="7"/>
  <c r="Z99" i="7"/>
  <c r="AD99" i="7"/>
  <c r="Z5" i="7"/>
  <c r="AD5" i="7"/>
  <c r="Z12" i="7"/>
  <c r="AD12" i="7"/>
  <c r="Z16" i="7"/>
  <c r="AD16" i="7"/>
  <c r="Z20" i="7"/>
  <c r="AD20" i="7"/>
  <c r="Z24" i="7"/>
  <c r="AD24" i="7"/>
  <c r="Z28" i="7"/>
  <c r="AD28" i="7"/>
  <c r="Z32" i="7"/>
  <c r="AD32" i="7"/>
  <c r="Z36" i="7"/>
  <c r="AD36" i="7"/>
  <c r="Z40" i="7"/>
  <c r="AD40" i="7"/>
  <c r="Z44" i="7"/>
  <c r="AD44" i="7"/>
  <c r="Z48" i="7"/>
  <c r="AD48" i="7"/>
  <c r="Z52" i="7"/>
  <c r="AD52" i="7"/>
  <c r="Z56" i="7"/>
  <c r="AD56" i="7"/>
  <c r="Z60" i="7"/>
  <c r="AD60" i="7"/>
  <c r="Z64" i="7"/>
  <c r="AD64" i="7"/>
  <c r="Z68" i="7"/>
  <c r="AD68" i="7"/>
  <c r="Z72" i="7"/>
  <c r="AD72" i="7"/>
  <c r="Z76" i="7"/>
  <c r="AD76" i="7"/>
  <c r="Z80" i="7"/>
  <c r="AD80" i="7"/>
  <c r="Z84" i="7"/>
  <c r="AD84" i="7"/>
  <c r="Z88" i="7"/>
  <c r="AD88" i="7"/>
  <c r="Z92" i="7"/>
  <c r="AD92" i="7"/>
  <c r="Z96" i="7"/>
  <c r="AD96" i="7"/>
  <c r="Z100" i="7"/>
  <c r="AD100" i="7"/>
  <c r="Z9" i="7"/>
  <c r="AD9" i="7"/>
  <c r="Z6" i="7"/>
  <c r="AD6" i="7"/>
  <c r="Z13" i="7"/>
  <c r="AD13" i="7"/>
  <c r="Z17" i="7"/>
  <c r="AD17" i="7"/>
  <c r="Z21" i="7"/>
  <c r="AD21" i="7"/>
  <c r="Z25" i="7"/>
  <c r="AD25" i="7"/>
  <c r="Z29" i="7"/>
  <c r="AD29" i="7"/>
  <c r="Z33" i="7"/>
  <c r="AD33" i="7"/>
  <c r="Z37" i="7"/>
  <c r="AD37" i="7"/>
  <c r="Z41" i="7"/>
  <c r="AD41" i="7"/>
  <c r="Z45" i="7"/>
  <c r="AD45" i="7"/>
  <c r="Z49" i="7"/>
  <c r="AD49" i="7"/>
  <c r="Z53" i="7"/>
  <c r="AD53" i="7"/>
  <c r="Z57" i="7"/>
  <c r="AD57" i="7"/>
  <c r="Z61" i="7"/>
  <c r="AD61" i="7"/>
  <c r="Z65" i="7"/>
  <c r="AD65" i="7"/>
  <c r="Z69" i="7"/>
  <c r="AD69" i="7"/>
  <c r="Z73" i="7"/>
  <c r="AD73" i="7"/>
  <c r="Z77" i="7"/>
  <c r="AD77" i="7"/>
  <c r="Z81" i="7"/>
  <c r="AD81" i="7"/>
  <c r="Z85" i="7"/>
  <c r="AD85" i="7"/>
  <c r="Z89" i="7"/>
  <c r="AD89" i="7"/>
  <c r="Z93" i="7"/>
  <c r="AD93" i="7"/>
  <c r="Z97" i="7"/>
  <c r="AD97" i="7"/>
  <c r="Z101" i="7"/>
  <c r="AD101" i="7"/>
  <c r="U3" i="7"/>
  <c r="Z3" i="7"/>
  <c r="AF4" i="7"/>
  <c r="T4" i="7"/>
  <c r="U4" i="7"/>
  <c r="AF8" i="7"/>
  <c r="T8" i="7"/>
  <c r="U8" i="7"/>
  <c r="AF11" i="7"/>
  <c r="T11" i="7"/>
  <c r="U11" i="7"/>
  <c r="AF15" i="7"/>
  <c r="T15" i="7"/>
  <c r="U15" i="7"/>
  <c r="AF19" i="7"/>
  <c r="T19" i="7"/>
  <c r="U19" i="7"/>
  <c r="AF23" i="7"/>
  <c r="T23" i="7"/>
  <c r="U23" i="7"/>
  <c r="AF27" i="7"/>
  <c r="T27" i="7"/>
  <c r="U27" i="7"/>
  <c r="AF31" i="7"/>
  <c r="T31" i="7"/>
  <c r="U31" i="7"/>
  <c r="T35" i="7"/>
  <c r="U35" i="7"/>
  <c r="T39" i="7"/>
  <c r="U39" i="7"/>
  <c r="T43" i="7"/>
  <c r="U43" i="7"/>
  <c r="T47" i="7"/>
  <c r="U47" i="7"/>
  <c r="AF51" i="7"/>
  <c r="T51" i="7"/>
  <c r="U51" i="7"/>
  <c r="T55" i="7"/>
  <c r="U55" i="7"/>
  <c r="T59" i="7"/>
  <c r="U59" i="7"/>
  <c r="T63" i="7"/>
  <c r="U63" i="7"/>
  <c r="AF67" i="7"/>
  <c r="T67" i="7"/>
  <c r="U67" i="7"/>
  <c r="T71" i="7"/>
  <c r="U71" i="7"/>
  <c r="T75" i="7"/>
  <c r="U75" i="7"/>
  <c r="T79" i="7"/>
  <c r="U79" i="7"/>
  <c r="T83" i="7"/>
  <c r="U83" i="7"/>
  <c r="U87" i="7"/>
  <c r="T87" i="7"/>
  <c r="AF91" i="7"/>
  <c r="T91" i="7"/>
  <c r="U91" i="7"/>
  <c r="AF95" i="7"/>
  <c r="T95" i="7"/>
  <c r="U95" i="7"/>
  <c r="AF99" i="7"/>
  <c r="T99" i="7"/>
  <c r="U99" i="7"/>
  <c r="T5" i="7"/>
  <c r="U5" i="7"/>
  <c r="AF9" i="7"/>
  <c r="T9" i="7"/>
  <c r="U9" i="7"/>
  <c r="AF12" i="7"/>
  <c r="T12" i="7"/>
  <c r="U12" i="7"/>
  <c r="AF16" i="7"/>
  <c r="T16" i="7"/>
  <c r="U16" i="7"/>
  <c r="AF20" i="7"/>
  <c r="T20" i="7"/>
  <c r="U20" i="7"/>
  <c r="AF24" i="7"/>
  <c r="T24" i="7"/>
  <c r="U24" i="7"/>
  <c r="AF28" i="7"/>
  <c r="T28" i="7"/>
  <c r="U28" i="7"/>
  <c r="AF32" i="7"/>
  <c r="T32" i="7"/>
  <c r="U32" i="7"/>
  <c r="T36" i="7"/>
  <c r="U36" i="7"/>
  <c r="T40" i="7"/>
  <c r="U40" i="7"/>
  <c r="T44" i="7"/>
  <c r="U44" i="7"/>
  <c r="T48" i="7"/>
  <c r="U48" i="7"/>
  <c r="T52" i="7"/>
  <c r="U52" i="7"/>
  <c r="T56" i="7"/>
  <c r="U56" i="7"/>
  <c r="T60" i="7"/>
  <c r="U60" i="7"/>
  <c r="AF64" i="7"/>
  <c r="T64" i="7"/>
  <c r="U64" i="7"/>
  <c r="AF68" i="7"/>
  <c r="T68" i="7"/>
  <c r="U68" i="7"/>
  <c r="T72" i="7"/>
  <c r="U72" i="7"/>
  <c r="T76" i="7"/>
  <c r="U76" i="7"/>
  <c r="T80" i="7"/>
  <c r="U80" i="7"/>
  <c r="AF84" i="7"/>
  <c r="T84" i="7"/>
  <c r="U84" i="7"/>
  <c r="T88" i="7"/>
  <c r="U88" i="7"/>
  <c r="AF92" i="7"/>
  <c r="T92" i="7"/>
  <c r="U92" i="7"/>
  <c r="AF96" i="7"/>
  <c r="T96" i="7"/>
  <c r="U96" i="7"/>
  <c r="AF100" i="7"/>
  <c r="T100" i="7"/>
  <c r="U100" i="7"/>
  <c r="AF6" i="7"/>
  <c r="T6" i="7"/>
  <c r="U6" i="7"/>
  <c r="AF13" i="7"/>
  <c r="T13" i="7"/>
  <c r="U13" i="7"/>
  <c r="AF17" i="7"/>
  <c r="T17" i="7"/>
  <c r="U17" i="7"/>
  <c r="AF21" i="7"/>
  <c r="T21" i="7"/>
  <c r="U21" i="7"/>
  <c r="AF25" i="7"/>
  <c r="T25" i="7"/>
  <c r="U25" i="7"/>
  <c r="AF29" i="7"/>
  <c r="T29" i="7"/>
  <c r="U29" i="7"/>
  <c r="T33" i="7"/>
  <c r="U33" i="7"/>
  <c r="T37" i="7"/>
  <c r="U37" i="7"/>
  <c r="U41" i="7"/>
  <c r="T41" i="7"/>
  <c r="T45" i="7"/>
  <c r="U45" i="7"/>
  <c r="T49" i="7"/>
  <c r="U49" i="7"/>
  <c r="T53" i="7"/>
  <c r="U53" i="7"/>
  <c r="T57" i="7"/>
  <c r="U57" i="7"/>
  <c r="T61" i="7"/>
  <c r="U61" i="7"/>
  <c r="AF65" i="7"/>
  <c r="T65" i="7"/>
  <c r="U65" i="7"/>
  <c r="AF69" i="7"/>
  <c r="U69" i="7"/>
  <c r="T69" i="7"/>
  <c r="U73" i="7"/>
  <c r="T73" i="7"/>
  <c r="T77" i="7"/>
  <c r="U77" i="7"/>
  <c r="U81" i="7"/>
  <c r="T81" i="7"/>
  <c r="T85" i="7"/>
  <c r="U85" i="7"/>
  <c r="T89" i="7"/>
  <c r="U89" i="7"/>
  <c r="AF93" i="7"/>
  <c r="T93" i="7"/>
  <c r="U93" i="7"/>
  <c r="AF97" i="7"/>
  <c r="T97" i="7"/>
  <c r="U97" i="7"/>
  <c r="AF101" i="7"/>
  <c r="T101" i="7"/>
  <c r="U101" i="7"/>
  <c r="AF7" i="7"/>
  <c r="T7" i="7"/>
  <c r="U7" i="7"/>
  <c r="T10" i="7"/>
  <c r="U10" i="7"/>
  <c r="AF14" i="7"/>
  <c r="T14" i="7"/>
  <c r="U14" i="7"/>
  <c r="AF18" i="7"/>
  <c r="T18" i="7"/>
  <c r="U18" i="7"/>
  <c r="AF22" i="7"/>
  <c r="T22" i="7"/>
  <c r="U22" i="7"/>
  <c r="AF26" i="7"/>
  <c r="T26" i="7"/>
  <c r="U26" i="7"/>
  <c r="AF30" i="7"/>
  <c r="T30" i="7"/>
  <c r="U30" i="7"/>
  <c r="T34" i="7"/>
  <c r="U34" i="7"/>
  <c r="T38" i="7"/>
  <c r="U38" i="7"/>
  <c r="T42" i="7"/>
  <c r="U42" i="7"/>
  <c r="T46" i="7"/>
  <c r="U46" i="7"/>
  <c r="T50" i="7"/>
  <c r="U50" i="7"/>
  <c r="T54" i="7"/>
  <c r="U54" i="7"/>
  <c r="T58" i="7"/>
  <c r="U58" i="7"/>
  <c r="T62" i="7"/>
  <c r="U62" i="7"/>
  <c r="AF66" i="7"/>
  <c r="T66" i="7"/>
  <c r="U66" i="7"/>
  <c r="T70" i="7"/>
  <c r="U70" i="7"/>
  <c r="T74" i="7"/>
  <c r="U74" i="7"/>
  <c r="T78" i="7"/>
  <c r="U78" i="7"/>
  <c r="AF82" i="7"/>
  <c r="T82" i="7"/>
  <c r="U82" i="7"/>
  <c r="AF86" i="7"/>
  <c r="T86" i="7"/>
  <c r="U86" i="7"/>
  <c r="T90" i="7"/>
  <c r="U90" i="7"/>
  <c r="AF94" i="7"/>
  <c r="T94" i="7"/>
  <c r="U94" i="7"/>
  <c r="AF98" i="7"/>
  <c r="T98" i="7"/>
  <c r="U98" i="7"/>
  <c r="AF102" i="7"/>
  <c r="T102" i="7"/>
  <c r="U102" i="7"/>
  <c r="T3" i="7"/>
  <c r="AF3" i="7"/>
  <c r="AI4" i="7"/>
  <c r="AI8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75" i="7"/>
  <c r="AI79" i="7"/>
  <c r="AI83" i="7"/>
  <c r="AI87" i="7"/>
  <c r="AI91" i="7"/>
  <c r="AI95" i="7"/>
  <c r="AI99" i="7"/>
  <c r="AI9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I72" i="7"/>
  <c r="AI76" i="7"/>
  <c r="AI80" i="7"/>
  <c r="AI84" i="7"/>
  <c r="AI88" i="7"/>
  <c r="AI92" i="7"/>
  <c r="AI96" i="7"/>
  <c r="AI100" i="7"/>
  <c r="AI6" i="7"/>
  <c r="AI13" i="7"/>
  <c r="AI17" i="7"/>
  <c r="AI21" i="7"/>
  <c r="AI25" i="7"/>
  <c r="AI29" i="7"/>
  <c r="AI33" i="7"/>
  <c r="AI37" i="7"/>
  <c r="AI41" i="7"/>
  <c r="AI45" i="7"/>
  <c r="AI49" i="7"/>
  <c r="AI53" i="7"/>
  <c r="AI57" i="7"/>
  <c r="AI61" i="7"/>
  <c r="AI65" i="7"/>
  <c r="AI69" i="7"/>
  <c r="AI73" i="7"/>
  <c r="AI77" i="7"/>
  <c r="AI81" i="7"/>
  <c r="AI85" i="7"/>
  <c r="AI89" i="7"/>
  <c r="AI93" i="7"/>
  <c r="AI97" i="7"/>
  <c r="AI101" i="7"/>
  <c r="AI7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74" i="7"/>
  <c r="AI78" i="7"/>
  <c r="AI82" i="7"/>
  <c r="AI86" i="7"/>
  <c r="AI90" i="7"/>
  <c r="AI94" i="7"/>
  <c r="AI98" i="7"/>
  <c r="AI102" i="7"/>
  <c r="AI3" i="7"/>
  <c r="AG7" i="7"/>
  <c r="AH7" i="7"/>
  <c r="AG10" i="7"/>
  <c r="AH10" i="7"/>
  <c r="AG14" i="7"/>
  <c r="AH14" i="7"/>
  <c r="AG18" i="7"/>
  <c r="AH18" i="7"/>
  <c r="AG22" i="7"/>
  <c r="AH22" i="7"/>
  <c r="AG26" i="7"/>
  <c r="AH26" i="7"/>
  <c r="AG30" i="7"/>
  <c r="AH30" i="7"/>
  <c r="AG34" i="7"/>
  <c r="AH34" i="7"/>
  <c r="AG38" i="7"/>
  <c r="AH38" i="7"/>
  <c r="AG42" i="7"/>
  <c r="AH42" i="7"/>
  <c r="AG46" i="7"/>
  <c r="AH46" i="7"/>
  <c r="AG50" i="7"/>
  <c r="AH50" i="7"/>
  <c r="AG54" i="7"/>
  <c r="AH54" i="7"/>
  <c r="AG58" i="7"/>
  <c r="AH58" i="7"/>
  <c r="AG62" i="7"/>
  <c r="AH62" i="7"/>
  <c r="AG66" i="7"/>
  <c r="AH66" i="7"/>
  <c r="AG70" i="7"/>
  <c r="AH70" i="7"/>
  <c r="AG74" i="7"/>
  <c r="AH74" i="7"/>
  <c r="AG78" i="7"/>
  <c r="AH78" i="7"/>
  <c r="AG82" i="7"/>
  <c r="AH82" i="7"/>
  <c r="AG86" i="7"/>
  <c r="AH86" i="7"/>
  <c r="AG90" i="7"/>
  <c r="AH90" i="7"/>
  <c r="AG94" i="7"/>
  <c r="AH94" i="7"/>
  <c r="AG98" i="7"/>
  <c r="AH98" i="7"/>
  <c r="AG102" i="7"/>
  <c r="AH102" i="7"/>
  <c r="AG4" i="7"/>
  <c r="AH4" i="7"/>
  <c r="AG8" i="7"/>
  <c r="AH8" i="7"/>
  <c r="AG11" i="7"/>
  <c r="AH11" i="7"/>
  <c r="AG15" i="7"/>
  <c r="AH15" i="7"/>
  <c r="AG19" i="7"/>
  <c r="AH19" i="7"/>
  <c r="AG23" i="7"/>
  <c r="AH23" i="7"/>
  <c r="AG27" i="7"/>
  <c r="AH27" i="7"/>
  <c r="AG31" i="7"/>
  <c r="AH31" i="7"/>
  <c r="AG35" i="7"/>
  <c r="AH35" i="7"/>
  <c r="AG39" i="7"/>
  <c r="AH39" i="7"/>
  <c r="AG43" i="7"/>
  <c r="AH43" i="7"/>
  <c r="AG47" i="7"/>
  <c r="AH47" i="7"/>
  <c r="AG51" i="7"/>
  <c r="AH51" i="7"/>
  <c r="AG55" i="7"/>
  <c r="AH55" i="7"/>
  <c r="AG59" i="7"/>
  <c r="AH59" i="7"/>
  <c r="AG63" i="7"/>
  <c r="AH63" i="7"/>
  <c r="AG67" i="7"/>
  <c r="AH67" i="7"/>
  <c r="AG71" i="7"/>
  <c r="AH71" i="7"/>
  <c r="AG75" i="7"/>
  <c r="AH75" i="7"/>
  <c r="AG79" i="7"/>
  <c r="AH79" i="7"/>
  <c r="AG83" i="7"/>
  <c r="AH83" i="7"/>
  <c r="AG87" i="7"/>
  <c r="AH87" i="7"/>
  <c r="AG91" i="7"/>
  <c r="AH91" i="7"/>
  <c r="AG95" i="7"/>
  <c r="AH95" i="7"/>
  <c r="AG99" i="7"/>
  <c r="AH99" i="7"/>
  <c r="AG5" i="7"/>
  <c r="AH5" i="7"/>
  <c r="AG9" i="7"/>
  <c r="AH9" i="7"/>
  <c r="AG12" i="7"/>
  <c r="AH12" i="7"/>
  <c r="AG16" i="7"/>
  <c r="AH16" i="7"/>
  <c r="AG20" i="7"/>
  <c r="AH20" i="7"/>
  <c r="AG24" i="7"/>
  <c r="AH24" i="7"/>
  <c r="AG28" i="7"/>
  <c r="AH28" i="7"/>
  <c r="AG32" i="7"/>
  <c r="AH32" i="7"/>
  <c r="AG36" i="7"/>
  <c r="AH36" i="7"/>
  <c r="AG40" i="7"/>
  <c r="AH40" i="7"/>
  <c r="AG44" i="7"/>
  <c r="AH44" i="7"/>
  <c r="AG48" i="7"/>
  <c r="AH48" i="7"/>
  <c r="AG52" i="7"/>
  <c r="AH52" i="7"/>
  <c r="AG56" i="7"/>
  <c r="AH56" i="7"/>
  <c r="AG60" i="7"/>
  <c r="AH60" i="7"/>
  <c r="AG64" i="7"/>
  <c r="AH64" i="7"/>
  <c r="AG68" i="7"/>
  <c r="AH68" i="7"/>
  <c r="AG72" i="7"/>
  <c r="AH72" i="7"/>
  <c r="AG76" i="7"/>
  <c r="AH76" i="7"/>
  <c r="AG80" i="7"/>
  <c r="AH80" i="7"/>
  <c r="AG84" i="7"/>
  <c r="AH84" i="7"/>
  <c r="AG88" i="7"/>
  <c r="AH88" i="7"/>
  <c r="AG92" i="7"/>
  <c r="AH92" i="7"/>
  <c r="AG96" i="7"/>
  <c r="AH96" i="7"/>
  <c r="AG100" i="7"/>
  <c r="AH100" i="7"/>
  <c r="AG6" i="7"/>
  <c r="AH6" i="7"/>
  <c r="AG13" i="7"/>
  <c r="AH13" i="7"/>
  <c r="AG17" i="7"/>
  <c r="AH17" i="7"/>
  <c r="AG21" i="7"/>
  <c r="AH21" i="7"/>
  <c r="AG25" i="7"/>
  <c r="AH25" i="7"/>
  <c r="AG29" i="7"/>
  <c r="AH29" i="7"/>
  <c r="AG33" i="7"/>
  <c r="AH33" i="7"/>
  <c r="AG37" i="7"/>
  <c r="AH37" i="7"/>
  <c r="AG41" i="7"/>
  <c r="AH41" i="7"/>
  <c r="AG45" i="7"/>
  <c r="AH45" i="7"/>
  <c r="AG49" i="7"/>
  <c r="AH49" i="7"/>
  <c r="AG53" i="7"/>
  <c r="AH53" i="7"/>
  <c r="AG57" i="7"/>
  <c r="AH57" i="7"/>
  <c r="AG61" i="7"/>
  <c r="AH61" i="7"/>
  <c r="AG65" i="7"/>
  <c r="AH65" i="7"/>
  <c r="AG69" i="7"/>
  <c r="AH69" i="7"/>
  <c r="AG73" i="7"/>
  <c r="AH73" i="7"/>
  <c r="AG77" i="7"/>
  <c r="AH77" i="7"/>
  <c r="AG81" i="7"/>
  <c r="AH81" i="7"/>
  <c r="AG85" i="7"/>
  <c r="AH85" i="7"/>
  <c r="AG89" i="7"/>
  <c r="AH89" i="7"/>
  <c r="AG93" i="7"/>
  <c r="AH93" i="7"/>
  <c r="AG97" i="7"/>
  <c r="AH97" i="7"/>
  <c r="AG101" i="7"/>
  <c r="AH101" i="7"/>
  <c r="AG3" i="7"/>
  <c r="AH3" i="7"/>
  <c r="AA7" i="7"/>
  <c r="AB7" i="7"/>
  <c r="AA10" i="7"/>
  <c r="AB10" i="7"/>
  <c r="AA14" i="7"/>
  <c r="AB14" i="7"/>
  <c r="AA18" i="7"/>
  <c r="AB18" i="7"/>
  <c r="AA22" i="7"/>
  <c r="AB22" i="7"/>
  <c r="AA26" i="7"/>
  <c r="AB26" i="7"/>
  <c r="AA30" i="7"/>
  <c r="AB30" i="7"/>
  <c r="AA34" i="7"/>
  <c r="AB34" i="7"/>
  <c r="AA38" i="7"/>
  <c r="AB38" i="7"/>
  <c r="AA42" i="7"/>
  <c r="AB42" i="7"/>
  <c r="AA46" i="7"/>
  <c r="AB46" i="7"/>
  <c r="AA50" i="7"/>
  <c r="AB50" i="7"/>
  <c r="AA54" i="7"/>
  <c r="AB54" i="7"/>
  <c r="AA58" i="7"/>
  <c r="AB58" i="7"/>
  <c r="AA62" i="7"/>
  <c r="AB62" i="7"/>
  <c r="AA66" i="7"/>
  <c r="AB66" i="7"/>
  <c r="AA70" i="7"/>
  <c r="AB70" i="7"/>
  <c r="AA74" i="7"/>
  <c r="AA78" i="7"/>
  <c r="AB78" i="7"/>
  <c r="AA82" i="7"/>
  <c r="AB82" i="7"/>
  <c r="AA86" i="7"/>
  <c r="AB86" i="7"/>
  <c r="AA90" i="7"/>
  <c r="AB90" i="7"/>
  <c r="AA94" i="7"/>
  <c r="AB94" i="7"/>
  <c r="AA98" i="7"/>
  <c r="AB98" i="7"/>
  <c r="AA102" i="7"/>
  <c r="AB102" i="7"/>
  <c r="AA4" i="7"/>
  <c r="AB4" i="7"/>
  <c r="AA8" i="7"/>
  <c r="AB8" i="7"/>
  <c r="AA11" i="7"/>
  <c r="AB11" i="7"/>
  <c r="AA15" i="7"/>
  <c r="AB15" i="7"/>
  <c r="AA19" i="7"/>
  <c r="AB19" i="7"/>
  <c r="AA23" i="7"/>
  <c r="AB23" i="7"/>
  <c r="AA27" i="7"/>
  <c r="AB27" i="7"/>
  <c r="AA31" i="7"/>
  <c r="AB31" i="7"/>
  <c r="AA35" i="7"/>
  <c r="AB35" i="7"/>
  <c r="AA39" i="7"/>
  <c r="AB39" i="7"/>
  <c r="AA43" i="7"/>
  <c r="AB43" i="7"/>
  <c r="AA47" i="7"/>
  <c r="AB47" i="7"/>
  <c r="AA51" i="7"/>
  <c r="AB51" i="7"/>
  <c r="AA55" i="7"/>
  <c r="AB55" i="7"/>
  <c r="AA59" i="7"/>
  <c r="AB59" i="7"/>
  <c r="AA63" i="7"/>
  <c r="AB63" i="7"/>
  <c r="AA67" i="7"/>
  <c r="AB67" i="7"/>
  <c r="AA71" i="7"/>
  <c r="AA75" i="7"/>
  <c r="AA79" i="7"/>
  <c r="AB79" i="7"/>
  <c r="AA83" i="7"/>
  <c r="AA87" i="7"/>
  <c r="AB87" i="7"/>
  <c r="AA91" i="7"/>
  <c r="AB91" i="7"/>
  <c r="AA95" i="7"/>
  <c r="AB95" i="7"/>
  <c r="AA99" i="7"/>
  <c r="AB99" i="7"/>
  <c r="AA5" i="7"/>
  <c r="AB5" i="7"/>
  <c r="AA9" i="7"/>
  <c r="AB9" i="7"/>
  <c r="AA12" i="7"/>
  <c r="AB12" i="7"/>
  <c r="AA16" i="7"/>
  <c r="AB16" i="7"/>
  <c r="AA20" i="7"/>
  <c r="AB20" i="7"/>
  <c r="AA24" i="7"/>
  <c r="AB24" i="7"/>
  <c r="AA28" i="7"/>
  <c r="AB28" i="7"/>
  <c r="AA32" i="7"/>
  <c r="AB32" i="7"/>
  <c r="AA36" i="7"/>
  <c r="AB36" i="7"/>
  <c r="AA40" i="7"/>
  <c r="AB40" i="7"/>
  <c r="AA44" i="7"/>
  <c r="AB44" i="7"/>
  <c r="AA48" i="7"/>
  <c r="AB48" i="7"/>
  <c r="AA52" i="7"/>
  <c r="AB52" i="7"/>
  <c r="AA56" i="7"/>
  <c r="AB56" i="7"/>
  <c r="AA60" i="7"/>
  <c r="AB60" i="7"/>
  <c r="AA64" i="7"/>
  <c r="AB64" i="7"/>
  <c r="AA68" i="7"/>
  <c r="AB68" i="7"/>
  <c r="AA72" i="7"/>
  <c r="AA76" i="7"/>
  <c r="AB76" i="7"/>
  <c r="AA80" i="7"/>
  <c r="AB80" i="7"/>
  <c r="AA84" i="7"/>
  <c r="AB84" i="7"/>
  <c r="AA88" i="7"/>
  <c r="AB88" i="7"/>
  <c r="AA92" i="7"/>
  <c r="AB92" i="7"/>
  <c r="AA96" i="7"/>
  <c r="AB96" i="7"/>
  <c r="AA100" i="7"/>
  <c r="AB100" i="7"/>
  <c r="AA6" i="7"/>
  <c r="AB6" i="7"/>
  <c r="AA13" i="7"/>
  <c r="AB13" i="7"/>
  <c r="AA17" i="7"/>
  <c r="AB17" i="7"/>
  <c r="AA21" i="7"/>
  <c r="AB21" i="7"/>
  <c r="AA25" i="7"/>
  <c r="AB25" i="7"/>
  <c r="AA29" i="7"/>
  <c r="AB29" i="7"/>
  <c r="AA33" i="7"/>
  <c r="AB33" i="7"/>
  <c r="AA37" i="7"/>
  <c r="AB37" i="7"/>
  <c r="AA41" i="7"/>
  <c r="AB41" i="7"/>
  <c r="AA45" i="7"/>
  <c r="AB45" i="7"/>
  <c r="AA49" i="7"/>
  <c r="AB49" i="7"/>
  <c r="AA53" i="7"/>
  <c r="AB53" i="7"/>
  <c r="AA57" i="7"/>
  <c r="AB57" i="7"/>
  <c r="AA61" i="7"/>
  <c r="AB61" i="7"/>
  <c r="AA65" i="7"/>
  <c r="AB65" i="7"/>
  <c r="AA69" i="7"/>
  <c r="AB69" i="7"/>
  <c r="AA73" i="7"/>
  <c r="AA77" i="7"/>
  <c r="AB77" i="7"/>
  <c r="AA81" i="7"/>
  <c r="AB81" i="7"/>
  <c r="AA85" i="7"/>
  <c r="AB85" i="7"/>
  <c r="AA89" i="7"/>
  <c r="AB89" i="7"/>
  <c r="AA93" i="7"/>
  <c r="AB93" i="7"/>
  <c r="AA97" i="7"/>
  <c r="AB97" i="7"/>
  <c r="AA101" i="7"/>
  <c r="AB101" i="7"/>
  <c r="AA3" i="7"/>
  <c r="AB3" i="7"/>
  <c r="Y7" i="7"/>
  <c r="Y10" i="7"/>
  <c r="Y14" i="7"/>
  <c r="Y18" i="7"/>
  <c r="Y22" i="7"/>
  <c r="Y26" i="7"/>
  <c r="Y30" i="7"/>
  <c r="Y34" i="7"/>
  <c r="Y38" i="7"/>
  <c r="Y42" i="7"/>
  <c r="Y46" i="7"/>
  <c r="Y50" i="7"/>
  <c r="Y54" i="7"/>
  <c r="Y58" i="7"/>
  <c r="Y62" i="7"/>
  <c r="Y66" i="7"/>
  <c r="Y70" i="7"/>
  <c r="Y74" i="7"/>
  <c r="Y78" i="7"/>
  <c r="Y82" i="7"/>
  <c r="Y86" i="7"/>
  <c r="Y90" i="7"/>
  <c r="Y94" i="7"/>
  <c r="Y98" i="7"/>
  <c r="Y102" i="7"/>
  <c r="Y4" i="7"/>
  <c r="Y8" i="7"/>
  <c r="Y11" i="7"/>
  <c r="Y15" i="7"/>
  <c r="Y19" i="7"/>
  <c r="Y23" i="7"/>
  <c r="Y27" i="7"/>
  <c r="Y31" i="7"/>
  <c r="Y35" i="7"/>
  <c r="Y39" i="7"/>
  <c r="Y43" i="7"/>
  <c r="Y47" i="7"/>
  <c r="Y51" i="7"/>
  <c r="Y55" i="7"/>
  <c r="Y59" i="7"/>
  <c r="Y63" i="7"/>
  <c r="Y67" i="7"/>
  <c r="Y71" i="7"/>
  <c r="Y75" i="7"/>
  <c r="Y79" i="7"/>
  <c r="Y83" i="7"/>
  <c r="Y87" i="7"/>
  <c r="Y91" i="7"/>
  <c r="Y95" i="7"/>
  <c r="Y99" i="7"/>
  <c r="Y5" i="7"/>
  <c r="Y9" i="7"/>
  <c r="Y12" i="7"/>
  <c r="Y16" i="7"/>
  <c r="Y20" i="7"/>
  <c r="Y24" i="7"/>
  <c r="Y28" i="7"/>
  <c r="Y32" i="7"/>
  <c r="Y36" i="7"/>
  <c r="Y40" i="7"/>
  <c r="Y44" i="7"/>
  <c r="Y48" i="7"/>
  <c r="Y52" i="7"/>
  <c r="Y56" i="7"/>
  <c r="Y60" i="7"/>
  <c r="Y64" i="7"/>
  <c r="Y68" i="7"/>
  <c r="Y72" i="7"/>
  <c r="Y76" i="7"/>
  <c r="Y80" i="7"/>
  <c r="Y84" i="7"/>
  <c r="Y88" i="7"/>
  <c r="Y92" i="7"/>
  <c r="Y96" i="7"/>
  <c r="Y100" i="7"/>
  <c r="Y6" i="7"/>
  <c r="Y13" i="7"/>
  <c r="Y17" i="7"/>
  <c r="Y21" i="7"/>
  <c r="Y25" i="7"/>
  <c r="Y29" i="7"/>
  <c r="Y33" i="7"/>
  <c r="Y37" i="7"/>
  <c r="Y41" i="7"/>
  <c r="Y45" i="7"/>
  <c r="Y49" i="7"/>
  <c r="Y53" i="7"/>
  <c r="Y57" i="7"/>
  <c r="Y61" i="7"/>
  <c r="Y65" i="7"/>
  <c r="Y69" i="7"/>
  <c r="Y73" i="7"/>
  <c r="Y77" i="7"/>
  <c r="Y81" i="7"/>
  <c r="Y85" i="7"/>
  <c r="Y89" i="7"/>
  <c r="Y93" i="7"/>
  <c r="Y97" i="7"/>
  <c r="Y101" i="7"/>
  <c r="Y3" i="7"/>
  <c r="W3" i="7"/>
  <c r="V7" i="7"/>
  <c r="W7" i="7"/>
  <c r="V10" i="7"/>
  <c r="W10" i="7"/>
  <c r="V14" i="7"/>
  <c r="W14" i="7"/>
  <c r="V18" i="7"/>
  <c r="W18" i="7"/>
  <c r="V22" i="7"/>
  <c r="W22" i="7"/>
  <c r="V26" i="7"/>
  <c r="W26" i="7"/>
  <c r="V30" i="7"/>
  <c r="W30" i="7"/>
  <c r="V34" i="7"/>
  <c r="W34" i="7"/>
  <c r="V38" i="7"/>
  <c r="W38" i="7"/>
  <c r="V42" i="7"/>
  <c r="W42" i="7"/>
  <c r="V46" i="7"/>
  <c r="W46" i="7"/>
  <c r="V50" i="7"/>
  <c r="W50" i="7"/>
  <c r="V54" i="7"/>
  <c r="W54" i="7"/>
  <c r="V58" i="7"/>
  <c r="W58" i="7"/>
  <c r="V62" i="7"/>
  <c r="W62" i="7"/>
  <c r="V66" i="7"/>
  <c r="W66" i="7"/>
  <c r="V70" i="7"/>
  <c r="W70" i="7"/>
  <c r="V74" i="7"/>
  <c r="W74" i="7"/>
  <c r="V78" i="7"/>
  <c r="W78" i="7"/>
  <c r="V82" i="7"/>
  <c r="W82" i="7"/>
  <c r="V86" i="7"/>
  <c r="W86" i="7"/>
  <c r="V90" i="7"/>
  <c r="W90" i="7"/>
  <c r="V94" i="7"/>
  <c r="W94" i="7"/>
  <c r="V98" i="7"/>
  <c r="W98" i="7"/>
  <c r="V102" i="7"/>
  <c r="W102" i="7"/>
  <c r="V4" i="7"/>
  <c r="W4" i="7"/>
  <c r="V8" i="7"/>
  <c r="W8" i="7"/>
  <c r="V11" i="7"/>
  <c r="W11" i="7"/>
  <c r="V15" i="7"/>
  <c r="W15" i="7"/>
  <c r="V19" i="7"/>
  <c r="W19" i="7"/>
  <c r="V23" i="7"/>
  <c r="W23" i="7"/>
  <c r="V27" i="7"/>
  <c r="W27" i="7"/>
  <c r="V31" i="7"/>
  <c r="W31" i="7"/>
  <c r="V35" i="7"/>
  <c r="W35" i="7"/>
  <c r="V39" i="7"/>
  <c r="W39" i="7"/>
  <c r="V43" i="7"/>
  <c r="W43" i="7"/>
  <c r="V47" i="7"/>
  <c r="W47" i="7"/>
  <c r="V51" i="7"/>
  <c r="W51" i="7"/>
  <c r="V55" i="7"/>
  <c r="W55" i="7"/>
  <c r="V59" i="7"/>
  <c r="W59" i="7"/>
  <c r="V63" i="7"/>
  <c r="W63" i="7"/>
  <c r="V67" i="7"/>
  <c r="W67" i="7"/>
  <c r="V71" i="7"/>
  <c r="W71" i="7"/>
  <c r="V75" i="7"/>
  <c r="W75" i="7"/>
  <c r="V79" i="7"/>
  <c r="W79" i="7"/>
  <c r="V83" i="7"/>
  <c r="W83" i="7"/>
  <c r="V87" i="7"/>
  <c r="W87" i="7"/>
  <c r="V91" i="7"/>
  <c r="W91" i="7"/>
  <c r="V95" i="7"/>
  <c r="W95" i="7"/>
  <c r="V99" i="7"/>
  <c r="W99" i="7"/>
  <c r="V5" i="7"/>
  <c r="W5" i="7"/>
  <c r="V9" i="7"/>
  <c r="W9" i="7"/>
  <c r="V12" i="7"/>
  <c r="W12" i="7"/>
  <c r="V16" i="7"/>
  <c r="W16" i="7"/>
  <c r="V20" i="7"/>
  <c r="W20" i="7"/>
  <c r="V24" i="7"/>
  <c r="W24" i="7"/>
  <c r="V28" i="7"/>
  <c r="W28" i="7"/>
  <c r="V32" i="7"/>
  <c r="W32" i="7"/>
  <c r="V36" i="7"/>
  <c r="W36" i="7"/>
  <c r="V40" i="7"/>
  <c r="W40" i="7"/>
  <c r="V44" i="7"/>
  <c r="W44" i="7"/>
  <c r="V48" i="7"/>
  <c r="W48" i="7"/>
  <c r="V52" i="7"/>
  <c r="W52" i="7"/>
  <c r="V56" i="7"/>
  <c r="W56" i="7"/>
  <c r="V60" i="7"/>
  <c r="W60" i="7"/>
  <c r="V64" i="7"/>
  <c r="W64" i="7"/>
  <c r="V68" i="7"/>
  <c r="W68" i="7"/>
  <c r="V72" i="7"/>
  <c r="W72" i="7"/>
  <c r="V76" i="7"/>
  <c r="W76" i="7"/>
  <c r="V80" i="7"/>
  <c r="W80" i="7"/>
  <c r="V84" i="7"/>
  <c r="W84" i="7"/>
  <c r="V88" i="7"/>
  <c r="W88" i="7"/>
  <c r="V92" i="7"/>
  <c r="W92" i="7"/>
  <c r="V96" i="7"/>
  <c r="W96" i="7"/>
  <c r="V100" i="7"/>
  <c r="W100" i="7"/>
  <c r="V6" i="7"/>
  <c r="W6" i="7"/>
  <c r="V13" i="7"/>
  <c r="W13" i="7"/>
  <c r="V17" i="7"/>
  <c r="W17" i="7"/>
  <c r="V21" i="7"/>
  <c r="W21" i="7"/>
  <c r="V25" i="7"/>
  <c r="W25" i="7"/>
  <c r="V29" i="7"/>
  <c r="W29" i="7"/>
  <c r="V33" i="7"/>
  <c r="W33" i="7"/>
  <c r="V37" i="7"/>
  <c r="W37" i="7"/>
  <c r="V41" i="7"/>
  <c r="W41" i="7"/>
  <c r="V45" i="7"/>
  <c r="W45" i="7"/>
  <c r="V49" i="7"/>
  <c r="W49" i="7"/>
  <c r="V53" i="7"/>
  <c r="W53" i="7"/>
  <c r="V57" i="7"/>
  <c r="W57" i="7"/>
  <c r="V61" i="7"/>
  <c r="W61" i="7"/>
  <c r="V65" i="7"/>
  <c r="W65" i="7"/>
  <c r="V69" i="7"/>
  <c r="W69" i="7"/>
  <c r="V73" i="7"/>
  <c r="W73" i="7"/>
  <c r="V77" i="7"/>
  <c r="W77" i="7"/>
  <c r="V81" i="7"/>
  <c r="W81" i="7"/>
  <c r="V85" i="7"/>
  <c r="W85" i="7"/>
  <c r="V89" i="7"/>
  <c r="W89" i="7"/>
  <c r="V93" i="7"/>
  <c r="W93" i="7"/>
  <c r="V97" i="7"/>
  <c r="W97" i="7"/>
  <c r="V101" i="7"/>
  <c r="W101" i="7"/>
  <c r="V3" i="7"/>
  <c r="S7" i="7"/>
  <c r="S54" i="7"/>
  <c r="S58" i="7"/>
  <c r="S62" i="7"/>
  <c r="S78" i="7"/>
  <c r="S82" i="7"/>
  <c r="S86" i="7"/>
  <c r="S90" i="7"/>
  <c r="S94" i="7"/>
  <c r="S98" i="7"/>
  <c r="S51" i="7"/>
  <c r="S55" i="7"/>
  <c r="S59" i="7"/>
  <c r="S63" i="7"/>
  <c r="S79" i="7"/>
  <c r="S83" i="7"/>
  <c r="S87" i="7"/>
  <c r="S91" i="7"/>
  <c r="S95" i="7"/>
  <c r="S99" i="7"/>
  <c r="S24" i="7"/>
  <c r="S52" i="7"/>
  <c r="S56" i="7"/>
  <c r="S60" i="7"/>
  <c r="S64" i="7"/>
  <c r="S80" i="7"/>
  <c r="S96" i="7"/>
  <c r="S53" i="7"/>
  <c r="S57" i="7"/>
  <c r="S61" i="7"/>
  <c r="S69" i="7"/>
  <c r="S81" i="7"/>
  <c r="S85" i="7"/>
  <c r="S97" i="7"/>
  <c r="S101" i="7"/>
  <c r="S3" i="7"/>
  <c r="R66" i="7"/>
  <c r="S66" i="7"/>
  <c r="R70" i="7"/>
  <c r="S70" i="7"/>
  <c r="R74" i="7"/>
  <c r="S74" i="7"/>
  <c r="R102" i="7"/>
  <c r="S102" i="7"/>
  <c r="R10" i="7"/>
  <c r="S10" i="7"/>
  <c r="R18" i="7"/>
  <c r="S18" i="7"/>
  <c r="R30" i="7"/>
  <c r="S30" i="7"/>
  <c r="R4" i="7"/>
  <c r="S4" i="7"/>
  <c r="R8" i="7"/>
  <c r="S8" i="7"/>
  <c r="R11" i="7"/>
  <c r="S11" i="7"/>
  <c r="R15" i="7"/>
  <c r="S15" i="7"/>
  <c r="R19" i="7"/>
  <c r="S19" i="7"/>
  <c r="R23" i="7"/>
  <c r="S23" i="7"/>
  <c r="R27" i="7"/>
  <c r="S27" i="7"/>
  <c r="R31" i="7"/>
  <c r="S31" i="7"/>
  <c r="R35" i="7"/>
  <c r="S35" i="7"/>
  <c r="R39" i="7"/>
  <c r="S39" i="7"/>
  <c r="R43" i="7"/>
  <c r="S43" i="7"/>
  <c r="R47" i="7"/>
  <c r="S47" i="7"/>
  <c r="R67" i="7"/>
  <c r="S67" i="7"/>
  <c r="R71" i="7"/>
  <c r="S71" i="7"/>
  <c r="R75" i="7"/>
  <c r="S75" i="7"/>
  <c r="R6" i="7"/>
  <c r="S6" i="7"/>
  <c r="R13" i="7"/>
  <c r="S13" i="7"/>
  <c r="R17" i="7"/>
  <c r="S17" i="7"/>
  <c r="R21" i="7"/>
  <c r="S21" i="7"/>
  <c r="R25" i="7"/>
  <c r="S25" i="7"/>
  <c r="R29" i="7"/>
  <c r="S29" i="7"/>
  <c r="R33" i="7"/>
  <c r="S33" i="7"/>
  <c r="R37" i="7"/>
  <c r="S37" i="7"/>
  <c r="R41" i="7"/>
  <c r="S41" i="7"/>
  <c r="R45" i="7"/>
  <c r="S45" i="7"/>
  <c r="R49" i="7"/>
  <c r="S49" i="7"/>
  <c r="R14" i="7"/>
  <c r="S14" i="7"/>
  <c r="R22" i="7"/>
  <c r="S22" i="7"/>
  <c r="R26" i="7"/>
  <c r="S26" i="7"/>
  <c r="R34" i="7"/>
  <c r="S34" i="7"/>
  <c r="R38" i="7"/>
  <c r="S38" i="7"/>
  <c r="R42" i="7"/>
  <c r="S42" i="7"/>
  <c r="R46" i="7"/>
  <c r="S46" i="7"/>
  <c r="R50" i="7"/>
  <c r="S50" i="7"/>
  <c r="R5" i="7"/>
  <c r="S5" i="7"/>
  <c r="R9" i="7"/>
  <c r="S9" i="7"/>
  <c r="R12" i="7"/>
  <c r="S12" i="7"/>
  <c r="R16" i="7"/>
  <c r="S16" i="7"/>
  <c r="R20" i="7"/>
  <c r="S20" i="7"/>
  <c r="R28" i="7"/>
  <c r="S28" i="7"/>
  <c r="R32" i="7"/>
  <c r="S32" i="7"/>
  <c r="R36" i="7"/>
  <c r="S36" i="7"/>
  <c r="R40" i="7"/>
  <c r="S40" i="7"/>
  <c r="R44" i="7"/>
  <c r="S44" i="7"/>
  <c r="R48" i="7"/>
  <c r="S48" i="7"/>
  <c r="R68" i="7"/>
  <c r="S68" i="7"/>
  <c r="R72" i="7"/>
  <c r="S72" i="7"/>
  <c r="R76" i="7"/>
  <c r="S76" i="7"/>
  <c r="R84" i="7"/>
  <c r="S84" i="7"/>
  <c r="R88" i="7"/>
  <c r="S88" i="7"/>
  <c r="R92" i="7"/>
  <c r="S92" i="7"/>
  <c r="R100" i="7"/>
  <c r="S100" i="7"/>
  <c r="R65" i="7"/>
  <c r="S65" i="7"/>
  <c r="R73" i="7"/>
  <c r="S73" i="7"/>
  <c r="R77" i="7"/>
  <c r="S77" i="7"/>
  <c r="R89" i="7"/>
  <c r="S89" i="7"/>
  <c r="R93" i="7"/>
  <c r="S93" i="7"/>
  <c r="Q54" i="7"/>
  <c r="R54" i="7"/>
  <c r="Q58" i="7"/>
  <c r="R58" i="7"/>
  <c r="Q62" i="7"/>
  <c r="R62" i="7"/>
  <c r="Q78" i="7"/>
  <c r="R78" i="7"/>
  <c r="Q82" i="7"/>
  <c r="R82" i="7"/>
  <c r="Q86" i="7"/>
  <c r="R86" i="7"/>
  <c r="Q90" i="7"/>
  <c r="R90" i="7"/>
  <c r="Q94" i="7"/>
  <c r="R94" i="7"/>
  <c r="Q98" i="7"/>
  <c r="R98" i="7"/>
  <c r="Q7" i="7"/>
  <c r="R7" i="7"/>
  <c r="Q51" i="7"/>
  <c r="R51" i="7"/>
  <c r="Q55" i="7"/>
  <c r="R55" i="7"/>
  <c r="Q59" i="7"/>
  <c r="R59" i="7"/>
  <c r="Q63" i="7"/>
  <c r="R63" i="7"/>
  <c r="Q79" i="7"/>
  <c r="R79" i="7"/>
  <c r="Q83" i="7"/>
  <c r="R83" i="7"/>
  <c r="Q87" i="7"/>
  <c r="R87" i="7"/>
  <c r="Q91" i="7"/>
  <c r="R91" i="7"/>
  <c r="Q95" i="7"/>
  <c r="R95" i="7"/>
  <c r="Q99" i="7"/>
  <c r="R99" i="7"/>
  <c r="Q24" i="7"/>
  <c r="R24" i="7"/>
  <c r="Q52" i="7"/>
  <c r="R52" i="7"/>
  <c r="Q56" i="7"/>
  <c r="R56" i="7"/>
  <c r="Q60" i="7"/>
  <c r="R60" i="7"/>
  <c r="Q64" i="7"/>
  <c r="R64" i="7"/>
  <c r="Q80" i="7"/>
  <c r="R80" i="7"/>
  <c r="Q96" i="7"/>
  <c r="R96" i="7"/>
  <c r="Q53" i="7"/>
  <c r="R53" i="7"/>
  <c r="Q57" i="7"/>
  <c r="R57" i="7"/>
  <c r="Q61" i="7"/>
  <c r="R61" i="7"/>
  <c r="Q69" i="7"/>
  <c r="R69" i="7"/>
  <c r="Q81" i="7"/>
  <c r="R81" i="7"/>
  <c r="Q85" i="7"/>
  <c r="R85" i="7"/>
  <c r="Q97" i="7"/>
  <c r="R97" i="7"/>
  <c r="Q101" i="7"/>
  <c r="R101" i="7"/>
  <c r="Q3" i="7"/>
  <c r="R3" i="7"/>
  <c r="P10" i="7"/>
  <c r="Q10" i="7"/>
  <c r="P14" i="7"/>
  <c r="Q14" i="7"/>
  <c r="P18" i="7"/>
  <c r="Q18" i="7"/>
  <c r="P22" i="7"/>
  <c r="Q22" i="7"/>
  <c r="P26" i="7"/>
  <c r="Q26" i="7"/>
  <c r="P30" i="7"/>
  <c r="Q30" i="7"/>
  <c r="P34" i="7"/>
  <c r="Q34" i="7"/>
  <c r="P38" i="7"/>
  <c r="Q38" i="7"/>
  <c r="P42" i="7"/>
  <c r="Q42" i="7"/>
  <c r="P46" i="7"/>
  <c r="Q46" i="7"/>
  <c r="P50" i="7"/>
  <c r="Q50" i="7"/>
  <c r="P66" i="7"/>
  <c r="Q66" i="7"/>
  <c r="P70" i="7"/>
  <c r="Q70" i="7"/>
  <c r="P74" i="7"/>
  <c r="Q74" i="7"/>
  <c r="P102" i="7"/>
  <c r="Q102" i="7"/>
  <c r="P8" i="7"/>
  <c r="Q8" i="7"/>
  <c r="P67" i="7"/>
  <c r="Q67" i="7"/>
  <c r="P71" i="7"/>
  <c r="Q71" i="7"/>
  <c r="P75" i="7"/>
  <c r="Q75" i="7"/>
  <c r="P15" i="7"/>
  <c r="Q15" i="7"/>
  <c r="P23" i="7"/>
  <c r="Q23" i="7"/>
  <c r="P5" i="7"/>
  <c r="Q5" i="7"/>
  <c r="P9" i="7"/>
  <c r="Q9" i="7"/>
  <c r="P12" i="7"/>
  <c r="Q12" i="7"/>
  <c r="P16" i="7"/>
  <c r="Q16" i="7"/>
  <c r="P20" i="7"/>
  <c r="Q20" i="7"/>
  <c r="P28" i="7"/>
  <c r="Q28" i="7"/>
  <c r="P32" i="7"/>
  <c r="Q32" i="7"/>
  <c r="P36" i="7"/>
  <c r="Q36" i="7"/>
  <c r="P40" i="7"/>
  <c r="Q40" i="7"/>
  <c r="P44" i="7"/>
  <c r="Q44" i="7"/>
  <c r="P48" i="7"/>
  <c r="Q48" i="7"/>
  <c r="P68" i="7"/>
  <c r="Q68" i="7"/>
  <c r="P72" i="7"/>
  <c r="Q72" i="7"/>
  <c r="P76" i="7"/>
  <c r="Q76" i="7"/>
  <c r="P84" i="7"/>
  <c r="Q84" i="7"/>
  <c r="P88" i="7"/>
  <c r="Q88" i="7"/>
  <c r="P92" i="7"/>
  <c r="Q92" i="7"/>
  <c r="P100" i="7"/>
  <c r="Q100" i="7"/>
  <c r="P4" i="7"/>
  <c r="Q4" i="7"/>
  <c r="P11" i="7"/>
  <c r="Q11" i="7"/>
  <c r="P19" i="7"/>
  <c r="Q19" i="7"/>
  <c r="P27" i="7"/>
  <c r="Q27" i="7"/>
  <c r="P31" i="7"/>
  <c r="Q31" i="7"/>
  <c r="P35" i="7"/>
  <c r="Q35" i="7"/>
  <c r="P39" i="7"/>
  <c r="Q39" i="7"/>
  <c r="P43" i="7"/>
  <c r="Q43" i="7"/>
  <c r="P47" i="7"/>
  <c r="Q47" i="7"/>
  <c r="P6" i="7"/>
  <c r="Q6" i="7"/>
  <c r="P13" i="7"/>
  <c r="Q13" i="7"/>
  <c r="P17" i="7"/>
  <c r="Q17" i="7"/>
  <c r="P21" i="7"/>
  <c r="Q21" i="7"/>
  <c r="P25" i="7"/>
  <c r="Q25" i="7"/>
  <c r="P29" i="7"/>
  <c r="Q29" i="7"/>
  <c r="P33" i="7"/>
  <c r="Q33" i="7"/>
  <c r="P37" i="7"/>
  <c r="Q37" i="7"/>
  <c r="P41" i="7"/>
  <c r="Q41" i="7"/>
  <c r="P45" i="7"/>
  <c r="Q45" i="7"/>
  <c r="P49" i="7"/>
  <c r="Q49" i="7"/>
  <c r="P65" i="7"/>
  <c r="Q65" i="7"/>
  <c r="P73" i="7"/>
  <c r="Q73" i="7"/>
  <c r="P77" i="7"/>
  <c r="Q77" i="7"/>
  <c r="P89" i="7"/>
  <c r="Q89" i="7"/>
  <c r="P93" i="7"/>
  <c r="Q93" i="7"/>
  <c r="O54" i="7"/>
  <c r="P54" i="7"/>
  <c r="O58" i="7"/>
  <c r="P58" i="7"/>
  <c r="O62" i="7"/>
  <c r="P62" i="7"/>
  <c r="O78" i="7"/>
  <c r="P78" i="7"/>
  <c r="O82" i="7"/>
  <c r="P82" i="7"/>
  <c r="O86" i="7"/>
  <c r="P86" i="7"/>
  <c r="O90" i="7"/>
  <c r="P90" i="7"/>
  <c r="O94" i="7"/>
  <c r="P94" i="7"/>
  <c r="O98" i="7"/>
  <c r="P98" i="7"/>
  <c r="O7" i="7"/>
  <c r="P7" i="7"/>
  <c r="O51" i="7"/>
  <c r="P51" i="7"/>
  <c r="O55" i="7"/>
  <c r="P55" i="7"/>
  <c r="O59" i="7"/>
  <c r="P59" i="7"/>
  <c r="O63" i="7"/>
  <c r="P63" i="7"/>
  <c r="O79" i="7"/>
  <c r="P79" i="7"/>
  <c r="O83" i="7"/>
  <c r="P83" i="7"/>
  <c r="O87" i="7"/>
  <c r="P87" i="7"/>
  <c r="O91" i="7"/>
  <c r="P91" i="7"/>
  <c r="O95" i="7"/>
  <c r="P95" i="7"/>
  <c r="O99" i="7"/>
  <c r="P99" i="7"/>
  <c r="O24" i="7"/>
  <c r="P24" i="7"/>
  <c r="O52" i="7"/>
  <c r="P52" i="7"/>
  <c r="O56" i="7"/>
  <c r="P56" i="7"/>
  <c r="O60" i="7"/>
  <c r="P60" i="7"/>
  <c r="O64" i="7"/>
  <c r="P64" i="7"/>
  <c r="O80" i="7"/>
  <c r="P80" i="7"/>
  <c r="O96" i="7"/>
  <c r="P96" i="7"/>
  <c r="O53" i="7"/>
  <c r="P53" i="7"/>
  <c r="O57" i="7"/>
  <c r="P57" i="7"/>
  <c r="O61" i="7"/>
  <c r="P61" i="7"/>
  <c r="O69" i="7"/>
  <c r="P69" i="7"/>
  <c r="O81" i="7"/>
  <c r="P81" i="7"/>
  <c r="O85" i="7"/>
  <c r="P85" i="7"/>
  <c r="O97" i="7"/>
  <c r="P97" i="7"/>
  <c r="O101" i="7"/>
  <c r="P101" i="7"/>
  <c r="O3" i="7"/>
  <c r="P3" i="7"/>
  <c r="O10" i="7"/>
  <c r="O14" i="7"/>
  <c r="O18" i="7"/>
  <c r="O22" i="7"/>
  <c r="O26" i="7"/>
  <c r="O30" i="7"/>
  <c r="O34" i="7"/>
  <c r="O38" i="7"/>
  <c r="O42" i="7"/>
  <c r="O46" i="7"/>
  <c r="O50" i="7"/>
  <c r="O66" i="7"/>
  <c r="O70" i="7"/>
  <c r="O74" i="7"/>
  <c r="O102" i="7"/>
  <c r="O8" i="7"/>
  <c r="O15" i="7"/>
  <c r="O23" i="7"/>
  <c r="O27" i="7"/>
  <c r="O35" i="7"/>
  <c r="O39" i="7"/>
  <c r="O43" i="7"/>
  <c r="O47" i="7"/>
  <c r="O67" i="7"/>
  <c r="O71" i="7"/>
  <c r="O75" i="7"/>
  <c r="O4" i="7"/>
  <c r="O11" i="7"/>
  <c r="O31" i="7"/>
  <c r="O5" i="7"/>
  <c r="O9" i="7"/>
  <c r="O12" i="7"/>
  <c r="O16" i="7"/>
  <c r="O20" i="7"/>
  <c r="O28" i="7"/>
  <c r="O32" i="7"/>
  <c r="O36" i="7"/>
  <c r="O40" i="7"/>
  <c r="O44" i="7"/>
  <c r="O48" i="7"/>
  <c r="O68" i="7"/>
  <c r="O72" i="7"/>
  <c r="O76" i="7"/>
  <c r="O84" i="7"/>
  <c r="O88" i="7"/>
  <c r="O92" i="7"/>
  <c r="O100" i="7"/>
  <c r="O19" i="7"/>
  <c r="O6" i="7"/>
  <c r="O13" i="7"/>
  <c r="O17" i="7"/>
  <c r="O21" i="7"/>
  <c r="O25" i="7"/>
  <c r="O29" i="7"/>
  <c r="O33" i="7"/>
  <c r="O37" i="7"/>
  <c r="O41" i="7"/>
  <c r="O45" i="7"/>
  <c r="O49" i="7"/>
  <c r="O65" i="7"/>
  <c r="O73" i="7"/>
  <c r="O77" i="7"/>
  <c r="O89" i="7"/>
  <c r="O93" i="7"/>
  <c r="AF55" i="7"/>
  <c r="AF57" i="7"/>
  <c r="AF63" i="7"/>
  <c r="AF60" i="7"/>
  <c r="AF53" i="7"/>
  <c r="AF59" i="7"/>
  <c r="AF61" i="7"/>
  <c r="AF62" i="7"/>
  <c r="AF52" i="7"/>
  <c r="AF54" i="7"/>
  <c r="AF56" i="7"/>
  <c r="AF58" i="7"/>
  <c r="AB13" i="5"/>
  <c r="AF83" i="7"/>
  <c r="C8" i="7"/>
  <c r="C23" i="7"/>
  <c r="C39" i="7"/>
  <c r="C51" i="7"/>
  <c r="C67" i="7"/>
  <c r="C83" i="7"/>
  <c r="C7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27" i="7"/>
  <c r="C63" i="7"/>
  <c r="C79" i="7"/>
  <c r="C95" i="7"/>
  <c r="C99" i="7"/>
  <c r="C15" i="7"/>
  <c r="C31" i="7"/>
  <c r="C43" i="7"/>
  <c r="C55" i="7"/>
  <c r="C75" i="7"/>
  <c r="C91" i="7"/>
  <c r="C5" i="7"/>
  <c r="C9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96" i="7"/>
  <c r="C11" i="7"/>
  <c r="C19" i="7"/>
  <c r="C35" i="7"/>
  <c r="C47" i="7"/>
  <c r="C59" i="7"/>
  <c r="C71" i="7"/>
  <c r="C87" i="7"/>
  <c r="C13" i="7"/>
  <c r="C21" i="7"/>
  <c r="C25" i="7"/>
  <c r="C29" i="7"/>
  <c r="C37" i="7"/>
  <c r="C61" i="7"/>
  <c r="C65" i="7"/>
  <c r="C69" i="7"/>
  <c r="C73" i="7"/>
  <c r="C77" i="7"/>
  <c r="C81" i="7"/>
  <c r="C85" i="7"/>
  <c r="C97" i="7"/>
  <c r="C101" i="7"/>
  <c r="AB83" i="7"/>
  <c r="AF10" i="7"/>
  <c r="C84" i="7"/>
  <c r="C88" i="7"/>
  <c r="AE92" i="7"/>
  <c r="C92" i="7"/>
  <c r="AE33" i="7"/>
  <c r="C33" i="7"/>
  <c r="C41" i="7"/>
  <c r="C45" i="7"/>
  <c r="C49" i="7"/>
  <c r="C53" i="7"/>
  <c r="C57" i="7"/>
  <c r="C89" i="7"/>
  <c r="C93" i="7"/>
  <c r="C6" i="7"/>
  <c r="AE17" i="7"/>
  <c r="C17" i="7"/>
  <c r="AE109" i="7"/>
  <c r="AE110" i="7"/>
  <c r="AE3" i="7"/>
  <c r="AE115" i="7"/>
  <c r="AE123" i="7"/>
  <c r="AE63" i="7"/>
  <c r="AE120" i="7"/>
  <c r="AE104" i="7"/>
  <c r="AF70" i="7"/>
  <c r="C102" i="7"/>
  <c r="AF36" i="7"/>
  <c r="AE15" i="7"/>
  <c r="AF40" i="7"/>
  <c r="AF44" i="7"/>
  <c r="AF48" i="7"/>
  <c r="AF35" i="7"/>
  <c r="AF39" i="7"/>
  <c r="AF43" i="7"/>
  <c r="AF47" i="7"/>
  <c r="AF33" i="7"/>
  <c r="AF37" i="7"/>
  <c r="AF41" i="7"/>
  <c r="AF45" i="7"/>
  <c r="AF49" i="7"/>
  <c r="AF34" i="7"/>
  <c r="AF38" i="7"/>
  <c r="AF42" i="7"/>
  <c r="AF46" i="7"/>
  <c r="AF50" i="7"/>
  <c r="L35" i="9"/>
  <c r="H28" i="10"/>
  <c r="H27" i="10" s="1"/>
  <c r="G27" i="10"/>
  <c r="AF28" i="10"/>
  <c r="AF27" i="10" s="1"/>
  <c r="AE27" i="10"/>
  <c r="T28" i="10"/>
  <c r="T27" i="10" s="1"/>
  <c r="S27" i="10"/>
  <c r="BC27" i="10"/>
  <c r="BD28" i="10"/>
  <c r="BD27" i="10" s="1"/>
  <c r="AQ28" i="10"/>
  <c r="AR28" i="10" s="1"/>
  <c r="AR27" i="10" s="1"/>
  <c r="AW27" i="10"/>
  <c r="AB10" i="9"/>
  <c r="AE100" i="7"/>
  <c r="AW4" i="5"/>
  <c r="AY9" i="5" s="1"/>
  <c r="BB78" i="5"/>
  <c r="BB81" i="5"/>
  <c r="AE72" i="7"/>
  <c r="F16" i="9"/>
  <c r="AE8" i="7"/>
  <c r="AE39" i="7"/>
  <c r="AE88" i="7"/>
  <c r="AE42" i="7"/>
  <c r="BB79" i="5"/>
  <c r="AE116" i="7"/>
  <c r="AE124" i="7"/>
  <c r="AE11" i="7"/>
  <c r="AE14" i="7"/>
  <c r="AE29" i="7"/>
  <c r="C4" i="7"/>
  <c r="AE6" i="7"/>
  <c r="AE13" i="7"/>
  <c r="AE19" i="7"/>
  <c r="AE41" i="7"/>
  <c r="AE45" i="7"/>
  <c r="AE87" i="7"/>
  <c r="AE57" i="7"/>
  <c r="AE71" i="7"/>
  <c r="AE80" i="7"/>
  <c r="AE108" i="7"/>
  <c r="AE112" i="7"/>
  <c r="AE46" i="7"/>
  <c r="AE18" i="7"/>
  <c r="AE21" i="7"/>
  <c r="AE25" i="7"/>
  <c r="AE43" i="7"/>
  <c r="AE49" i="7"/>
  <c r="AE55" i="7"/>
  <c r="AE76" i="7"/>
  <c r="AE84" i="7"/>
  <c r="AE22" i="7"/>
  <c r="AE37" i="7"/>
  <c r="AE53" i="7"/>
  <c r="AE58" i="7"/>
  <c r="AE59" i="7"/>
  <c r="AE60" i="7"/>
  <c r="AE64" i="7"/>
  <c r="AE67" i="7"/>
  <c r="AE68" i="7"/>
  <c r="AE83" i="7"/>
  <c r="AE95" i="7"/>
  <c r="AE99" i="7"/>
  <c r="AE103" i="7"/>
  <c r="AE75" i="7"/>
  <c r="AE79" i="7"/>
  <c r="AE91" i="7"/>
  <c r="AE96" i="7"/>
  <c r="AE107" i="7"/>
  <c r="AE119" i="7"/>
  <c r="AE111" i="7"/>
  <c r="AE73" i="7"/>
  <c r="AE97" i="7"/>
  <c r="AF90" i="7"/>
  <c r="AE61" i="7"/>
  <c r="AE77" i="7"/>
  <c r="AE101" i="7"/>
  <c r="AF72" i="7"/>
  <c r="AF73" i="7"/>
  <c r="AF74" i="7"/>
  <c r="AF75" i="7"/>
  <c r="AF71" i="7"/>
  <c r="AF87" i="7"/>
  <c r="AF88" i="7"/>
  <c r="AF89" i="7"/>
  <c r="AA2" i="10"/>
  <c r="AE23" i="7"/>
  <c r="AE26" i="7"/>
  <c r="AE30" i="7"/>
  <c r="AE34" i="7"/>
  <c r="AE47" i="7"/>
  <c r="AE50" i="7"/>
  <c r="AE65" i="7"/>
  <c r="AE81" i="7"/>
  <c r="AE105" i="7"/>
  <c r="C3" i="7"/>
  <c r="Z2" i="10"/>
  <c r="J13" i="5"/>
  <c r="AE4" i="7"/>
  <c r="AE7" i="7"/>
  <c r="AE10" i="7"/>
  <c r="AE27" i="7"/>
  <c r="AE31" i="7"/>
  <c r="AE35" i="7"/>
  <c r="AE38" i="7"/>
  <c r="AE51" i="7"/>
  <c r="AE54" i="7"/>
  <c r="AE69" i="7"/>
  <c r="AE85" i="7"/>
  <c r="AE89" i="7"/>
  <c r="AE93" i="7"/>
  <c r="AF79" i="7"/>
  <c r="AF77" i="7"/>
  <c r="AF80" i="7"/>
  <c r="AF76" i="7"/>
  <c r="AF78" i="7"/>
  <c r="AF81" i="7"/>
  <c r="AW8" i="5"/>
  <c r="N9" i="5" s="1"/>
  <c r="L10" i="9" s="1"/>
  <c r="AE5" i="7"/>
  <c r="AE9" i="7"/>
  <c r="AE12" i="7"/>
  <c r="AE16" i="7"/>
  <c r="AE20" i="7"/>
  <c r="AE24" i="7"/>
  <c r="AE28" i="7"/>
  <c r="AE32" i="7"/>
  <c r="AE36" i="7"/>
  <c r="AE40" i="7"/>
  <c r="AE44" i="7"/>
  <c r="AE48" i="7"/>
  <c r="AE52" i="7"/>
  <c r="AE56" i="7"/>
  <c r="AE113" i="7"/>
  <c r="AE117" i="7"/>
  <c r="AE121" i="7"/>
  <c r="AE125" i="7"/>
  <c r="AB71" i="7"/>
  <c r="AB75" i="7"/>
  <c r="AB72" i="7"/>
  <c r="AB73" i="7"/>
  <c r="AB74" i="7"/>
  <c r="E9" i="5"/>
  <c r="AE62" i="7"/>
  <c r="AE66" i="7"/>
  <c r="AE70" i="7"/>
  <c r="AE74" i="7"/>
  <c r="AE78" i="7"/>
  <c r="AE82" i="7"/>
  <c r="AE86" i="7"/>
  <c r="AE90" i="7"/>
  <c r="AE94" i="7"/>
  <c r="AE98" i="7"/>
  <c r="AE102" i="7"/>
  <c r="AE106" i="7"/>
  <c r="AE114" i="7"/>
  <c r="AE118" i="7"/>
  <c r="AE122" i="7"/>
  <c r="C100" i="7"/>
  <c r="Z28" i="10"/>
  <c r="Z27" i="10" s="1"/>
  <c r="AK28" i="10"/>
  <c r="AJ27" i="10"/>
  <c r="AQ27" i="10"/>
  <c r="M28" i="10"/>
  <c r="L27" i="10"/>
  <c r="AF85" i="7"/>
  <c r="AC3" i="10"/>
  <c r="AB3" i="10"/>
  <c r="AY4" i="5" l="1"/>
  <c r="AS25" i="5"/>
  <c r="T4" i="2"/>
  <c r="U4" i="2"/>
  <c r="BG47" i="5"/>
  <c r="BG57" i="5"/>
  <c r="F13" i="9"/>
  <c r="AG11" i="5"/>
  <c r="AP30" i="5"/>
  <c r="AQ30" i="5" s="1"/>
  <c r="AT27" i="5"/>
  <c r="AQ32" i="5" s="1"/>
  <c r="AW15" i="5"/>
  <c r="AW16" i="5"/>
  <c r="AW14" i="5"/>
  <c r="AY6" i="5"/>
  <c r="BB42" i="5"/>
  <c r="BB17" i="5"/>
  <c r="BB40" i="5"/>
  <c r="BB15" i="5"/>
  <c r="BB14" i="5"/>
  <c r="BB39" i="5"/>
  <c r="BM13" i="5"/>
  <c r="BL13" i="5"/>
  <c r="BK13" i="5"/>
  <c r="BJ13" i="5"/>
  <c r="AQ17" i="5"/>
  <c r="AG39" i="5"/>
  <c r="C3" i="11"/>
  <c r="C4" i="11"/>
  <c r="AX2" i="5"/>
  <c r="C2" i="11"/>
  <c r="AN2" i="5"/>
  <c r="AW13" i="5"/>
  <c r="AW12" i="5"/>
  <c r="AO8" i="5"/>
  <c r="AS22" i="5" s="1"/>
  <c r="AW17" i="5"/>
  <c r="AX20" i="5"/>
  <c r="AX4" i="5"/>
  <c r="N28" i="10"/>
  <c r="N27" i="10" s="1"/>
  <c r="M27" i="10"/>
  <c r="AW10" i="5"/>
  <c r="AB9" i="5" s="1"/>
  <c r="F16" i="5" s="1"/>
  <c r="AL28" i="10"/>
  <c r="AL27" i="10" s="1"/>
  <c r="AK27" i="10"/>
  <c r="AX12" i="5" l="1"/>
  <c r="AP2" i="5" s="1"/>
  <c r="Q13" i="9"/>
  <c r="J16" i="5"/>
  <c r="AK3" i="5"/>
  <c r="AS26" i="5"/>
  <c r="AS24" i="5"/>
  <c r="G48" i="2"/>
  <c r="AX26" i="5"/>
  <c r="G49" i="2"/>
  <c r="G53" i="2"/>
  <c r="G50" i="2"/>
  <c r="G54" i="2"/>
  <c r="G52" i="2"/>
  <c r="G51" i="2"/>
  <c r="G55" i="2"/>
  <c r="G56" i="2"/>
  <c r="AT10" i="5"/>
  <c r="BB88" i="5"/>
  <c r="BB24" i="5"/>
  <c r="BB49" i="5"/>
  <c r="G94" i="2"/>
  <c r="F2" i="11"/>
  <c r="H2" i="11"/>
  <c r="I2" i="11" s="1"/>
  <c r="M2" i="11" s="1"/>
  <c r="O2" i="11" s="1"/>
  <c r="BE20" i="5"/>
  <c r="K11" i="6"/>
  <c r="K12" i="6"/>
  <c r="K16" i="6"/>
  <c r="K13" i="6"/>
  <c r="K17" i="6"/>
  <c r="K19" i="6"/>
  <c r="K14" i="6"/>
  <c r="K18" i="6"/>
  <c r="K15" i="6"/>
  <c r="J11" i="6"/>
  <c r="J12" i="6"/>
  <c r="J16" i="6"/>
  <c r="J15" i="6"/>
  <c r="J13" i="6"/>
  <c r="J17" i="6"/>
  <c r="J14" i="6"/>
  <c r="J18" i="6"/>
  <c r="J19" i="6"/>
  <c r="D21" i="6"/>
  <c r="E21" i="6"/>
  <c r="F21" i="6"/>
  <c r="C5" i="6"/>
  <c r="C6" i="6"/>
  <c r="E5" i="6" s="1"/>
  <c r="M11" i="6" s="1"/>
  <c r="J21" i="6"/>
  <c r="C21" i="6"/>
  <c r="M21" i="6"/>
  <c r="L21" i="6"/>
  <c r="K21" i="6"/>
  <c r="BE42" i="5"/>
  <c r="BE84" i="5"/>
  <c r="B27" i="5"/>
  <c r="B23" i="9" s="1"/>
  <c r="H3" i="11"/>
  <c r="F3" i="11"/>
  <c r="H4" i="11"/>
  <c r="F4" i="11"/>
  <c r="G2" i="11"/>
  <c r="S2" i="11" s="1"/>
  <c r="AW18" i="5"/>
  <c r="P21" i="2" s="1"/>
  <c r="G3" i="11"/>
  <c r="S3" i="11" s="1"/>
  <c r="G4" i="11"/>
  <c r="S4" i="11" s="1"/>
  <c r="V4" i="11" s="1"/>
  <c r="G101" i="2"/>
  <c r="G102" i="2"/>
  <c r="G103" i="2"/>
  <c r="G57" i="2"/>
  <c r="N8" i="5"/>
  <c r="U9" i="9" s="1"/>
  <c r="P25" i="5"/>
  <c r="Z25" i="5"/>
  <c r="AB8" i="5"/>
  <c r="P9" i="9" s="1"/>
  <c r="U33" i="5"/>
  <c r="K29" i="9" s="1"/>
  <c r="T16" i="5"/>
  <c r="AB16" i="5"/>
  <c r="BM15" i="5"/>
  <c r="BM14" i="5" s="1"/>
  <c r="BR15" i="5"/>
  <c r="BT15" i="5" s="1"/>
  <c r="AZ83" i="5" s="1"/>
  <c r="AB40" i="5"/>
  <c r="AQ21" i="5"/>
  <c r="BF31" i="5" s="1"/>
  <c r="BG31" i="5" s="1"/>
  <c r="Q40" i="5"/>
  <c r="W40" i="5"/>
  <c r="N40" i="5"/>
  <c r="O40" i="5"/>
  <c r="I40" i="5"/>
  <c r="K40" i="5"/>
  <c r="F40" i="5"/>
  <c r="AC25" i="5"/>
  <c r="K9" i="9"/>
  <c r="O38" i="5"/>
  <c r="O39" i="5"/>
  <c r="AB38" i="5"/>
  <c r="AB39" i="5"/>
  <c r="I38" i="5"/>
  <c r="I39" i="5"/>
  <c r="BC70" i="5"/>
  <c r="W38" i="5"/>
  <c r="U38" i="5" s="1"/>
  <c r="AY44" i="5"/>
  <c r="W39" i="5"/>
  <c r="U40" i="5" s="1"/>
  <c r="N38" i="5"/>
  <c r="K39" i="5"/>
  <c r="Q39" i="5"/>
  <c r="K38" i="5"/>
  <c r="F39" i="5"/>
  <c r="F38" i="5"/>
  <c r="Q38" i="5"/>
  <c r="N39" i="5"/>
  <c r="AU16" i="5"/>
  <c r="BC7" i="5"/>
  <c r="AT15" i="5"/>
  <c r="F25" i="5"/>
  <c r="BC33" i="5"/>
  <c r="AO13" i="5"/>
  <c r="BC69" i="5"/>
  <c r="AX52" i="5"/>
  <c r="AU18" i="5"/>
  <c r="BC75" i="5"/>
  <c r="AT17" i="5"/>
  <c r="AB25" i="5"/>
  <c r="AP17" i="5"/>
  <c r="AU17" i="5"/>
  <c r="BC10" i="5"/>
  <c r="BC31" i="5"/>
  <c r="BC32" i="5"/>
  <c r="B26" i="5"/>
  <c r="AX53" i="5"/>
  <c r="AT16" i="5"/>
  <c r="BC5" i="5"/>
  <c r="BC27" i="5"/>
  <c r="BC72" i="5"/>
  <c r="L25" i="5"/>
  <c r="BC71" i="5"/>
  <c r="Y25" i="5"/>
  <c r="BC11" i="5"/>
  <c r="T25" i="5"/>
  <c r="AX51" i="5"/>
  <c r="BC29" i="5"/>
  <c r="BC8" i="5"/>
  <c r="B25" i="5"/>
  <c r="BC34" i="5"/>
  <c r="BC73" i="5"/>
  <c r="Z34" i="9"/>
  <c r="BC6" i="5"/>
  <c r="BC28" i="5"/>
  <c r="BC76" i="5"/>
  <c r="BC12" i="5"/>
  <c r="O25" i="5"/>
  <c r="AO14" i="5"/>
  <c r="BC30" i="5"/>
  <c r="BC9" i="5"/>
  <c r="BC74" i="5"/>
  <c r="Z35" i="9"/>
  <c r="G96" i="2"/>
  <c r="G100" i="2"/>
  <c r="G95" i="2"/>
  <c r="G98" i="2"/>
  <c r="G97" i="2"/>
  <c r="G99" i="2"/>
  <c r="P10" i="9"/>
  <c r="BQ30" i="10"/>
  <c r="Z9" i="10"/>
  <c r="Z5" i="10"/>
  <c r="BQ32" i="10"/>
  <c r="AA9" i="10"/>
  <c r="AA5" i="10"/>
  <c r="BQ35" i="10"/>
  <c r="Z12" i="10"/>
  <c r="Z8" i="10"/>
  <c r="BQ34" i="10"/>
  <c r="AA12" i="10"/>
  <c r="AA8" i="10"/>
  <c r="BQ31" i="10"/>
  <c r="Z11" i="10"/>
  <c r="Z7" i="10"/>
  <c r="BQ33" i="10"/>
  <c r="AA11" i="10"/>
  <c r="AA7" i="10"/>
  <c r="BQ36" i="10"/>
  <c r="Z10" i="10"/>
  <c r="Z6" i="10"/>
  <c r="BQ37" i="10"/>
  <c r="AA10" i="10"/>
  <c r="AA6" i="10"/>
  <c r="BJ15" i="5"/>
  <c r="BJ14" i="5" s="1"/>
  <c r="BK15" i="5"/>
  <c r="BK14" i="5" s="1"/>
  <c r="BL15" i="5"/>
  <c r="BL14" i="5" s="1"/>
  <c r="F10" i="9"/>
  <c r="BB45" i="5"/>
  <c r="BB84" i="5"/>
  <c r="AB7" i="5"/>
  <c r="BB20" i="5"/>
  <c r="T4" i="11" l="1"/>
  <c r="U4" i="11"/>
  <c r="AS20" i="5"/>
  <c r="AT13" i="5"/>
  <c r="I4" i="11"/>
  <c r="M4" i="11" s="1"/>
  <c r="I3" i="11"/>
  <c r="M3" i="11" s="1"/>
  <c r="O3" i="11" s="1"/>
  <c r="V3" i="11"/>
  <c r="V2" i="11"/>
  <c r="T2" i="11" s="1"/>
  <c r="AO3" i="5"/>
  <c r="AJ15" i="5" s="1"/>
  <c r="AT12" i="5"/>
  <c r="K27" i="6"/>
  <c r="J27" i="6"/>
  <c r="M19" i="6"/>
  <c r="M15" i="6"/>
  <c r="M17" i="6"/>
  <c r="M13" i="6"/>
  <c r="M18" i="6"/>
  <c r="M16" i="6"/>
  <c r="M14" i="6"/>
  <c r="M12" i="6"/>
  <c r="L15" i="6"/>
  <c r="L13" i="6"/>
  <c r="L18" i="6"/>
  <c r="L19" i="6"/>
  <c r="L14" i="6"/>
  <c r="L16" i="6"/>
  <c r="L17" i="6"/>
  <c r="L12" i="6"/>
  <c r="L11" i="6"/>
  <c r="AQ15" i="5"/>
  <c r="AZ19" i="5"/>
  <c r="BB19" i="5" s="1"/>
  <c r="AZ44" i="5"/>
  <c r="BB44" i="5" s="1"/>
  <c r="BB83" i="5"/>
  <c r="Z18" i="5"/>
  <c r="B40" i="5" s="1"/>
  <c r="BB25" i="5"/>
  <c r="BB50" i="5"/>
  <c r="S13" i="9"/>
  <c r="BB89" i="5"/>
  <c r="BF9" i="5"/>
  <c r="BG9" i="5" s="1"/>
  <c r="BF73" i="5"/>
  <c r="BG73" i="5" s="1"/>
  <c r="T35" i="9"/>
  <c r="Q35" i="9"/>
  <c r="E35" i="9"/>
  <c r="S35" i="9"/>
  <c r="M35" i="9"/>
  <c r="J35" i="9"/>
  <c r="H35" i="9"/>
  <c r="P18" i="5"/>
  <c r="B39" i="5" s="1"/>
  <c r="U39" i="5"/>
  <c r="W35" i="9" s="1"/>
  <c r="BC2" i="5"/>
  <c r="BC35" i="5"/>
  <c r="BR26" i="10" s="1"/>
  <c r="BE44" i="5"/>
  <c r="BC67" i="5"/>
  <c r="AS15" i="5"/>
  <c r="F26" i="5" s="1"/>
  <c r="BC25" i="5"/>
  <c r="H17" i="9"/>
  <c r="BC77" i="5"/>
  <c r="BS26" i="10" s="1"/>
  <c r="F18" i="5"/>
  <c r="B38" i="5" s="1"/>
  <c r="BC13" i="5"/>
  <c r="BQ26" i="10" s="1"/>
  <c r="V13" i="10"/>
  <c r="W13" i="10"/>
  <c r="BQ38" i="10"/>
  <c r="AB10" i="5"/>
  <c r="BF16" i="5"/>
  <c r="BG16" i="5" s="1"/>
  <c r="J23" i="5" s="1"/>
  <c r="BB21" i="5"/>
  <c r="F17" i="5" s="1"/>
  <c r="J17" i="5"/>
  <c r="J15" i="5" s="1"/>
  <c r="U10" i="9"/>
  <c r="AB17" i="5"/>
  <c r="S14" i="9" s="1"/>
  <c r="BF80" i="5"/>
  <c r="BG80" i="5" s="1"/>
  <c r="AB23" i="5" s="1"/>
  <c r="BB85" i="5"/>
  <c r="AA17" i="5" s="1"/>
  <c r="T17" i="5"/>
  <c r="BF38" i="5"/>
  <c r="BG38" i="5" s="1"/>
  <c r="BB46" i="5"/>
  <c r="P17" i="5" s="1"/>
  <c r="BR27" i="10"/>
  <c r="AA3" i="10"/>
  <c r="Z3" i="10"/>
  <c r="T3" i="11" l="1"/>
  <c r="U3" i="11"/>
  <c r="U2" i="11"/>
  <c r="O4" i="11"/>
  <c r="L2" i="11"/>
  <c r="N2" i="11"/>
  <c r="C2" i="16"/>
  <c r="D23" i="16" s="1"/>
  <c r="L27" i="6"/>
  <c r="M27" i="6"/>
  <c r="N3" i="11"/>
  <c r="N4" i="11"/>
  <c r="L3" i="11"/>
  <c r="K3" i="11"/>
  <c r="K4" i="11"/>
  <c r="K2" i="11"/>
  <c r="L4" i="11"/>
  <c r="B35" i="9"/>
  <c r="O35" i="9"/>
  <c r="BJ10" i="5"/>
  <c r="BF84" i="5" s="1"/>
  <c r="BG84" i="5" s="1"/>
  <c r="BJ9" i="5"/>
  <c r="BF20" i="5" s="1"/>
  <c r="BG20" i="5" s="1"/>
  <c r="R17" i="9"/>
  <c r="Z26" i="5"/>
  <c r="P26" i="5"/>
  <c r="F15" i="9"/>
  <c r="M19" i="10"/>
  <c r="BF34" i="5"/>
  <c r="S16" i="9"/>
  <c r="AB15" i="5"/>
  <c r="T23" i="5"/>
  <c r="Q14" i="9"/>
  <c r="T15" i="5"/>
  <c r="BS27" i="10"/>
  <c r="BQ27" i="10"/>
  <c r="D28" i="16" l="1"/>
  <c r="E28" i="16"/>
  <c r="D24" i="16"/>
  <c r="D25" i="16"/>
  <c r="D26" i="16"/>
  <c r="D27" i="16"/>
  <c r="D19" i="16"/>
  <c r="D20" i="16"/>
  <c r="D21" i="16"/>
  <c r="D5" i="16"/>
  <c r="D6" i="16"/>
  <c r="D10" i="16"/>
  <c r="D14" i="16"/>
  <c r="D7" i="16"/>
  <c r="D15" i="16"/>
  <c r="D12" i="16"/>
  <c r="D16" i="16"/>
  <c r="D9" i="16"/>
  <c r="D13" i="16"/>
  <c r="D11" i="16"/>
  <c r="D8" i="16"/>
  <c r="B24" i="16"/>
  <c r="B25" i="16"/>
  <c r="B29" i="16"/>
  <c r="B26" i="16"/>
  <c r="B28" i="16"/>
  <c r="B27" i="16"/>
  <c r="B15" i="16"/>
  <c r="B16" i="16"/>
  <c r="B20" i="16"/>
  <c r="B17" i="16"/>
  <c r="B21" i="16"/>
  <c r="B18" i="16"/>
  <c r="B19" i="16"/>
  <c r="B11" i="16"/>
  <c r="B12" i="16"/>
  <c r="B9" i="16"/>
  <c r="B10" i="16"/>
  <c r="B7" i="16"/>
  <c r="B8" i="16"/>
  <c r="B5" i="16"/>
  <c r="B6" i="16"/>
  <c r="E26" i="16"/>
  <c r="E27" i="16"/>
  <c r="E24" i="16"/>
  <c r="C29" i="16"/>
  <c r="C25" i="16"/>
  <c r="C26" i="16"/>
  <c r="C28" i="16"/>
  <c r="C27" i="16"/>
  <c r="C21" i="16"/>
  <c r="C24" i="16"/>
  <c r="C20" i="16"/>
  <c r="E25" i="16"/>
  <c r="E20" i="16"/>
  <c r="E21" i="16"/>
  <c r="E19" i="16"/>
  <c r="D18" i="16"/>
  <c r="E11" i="16"/>
  <c r="E12" i="16"/>
  <c r="E16" i="16"/>
  <c r="E13" i="16"/>
  <c r="E15" i="16"/>
  <c r="E14" i="16"/>
  <c r="E5" i="16"/>
  <c r="E6" i="16"/>
  <c r="E10" i="16"/>
  <c r="E7" i="16"/>
  <c r="E9" i="16"/>
  <c r="E8" i="16"/>
  <c r="D4" i="16"/>
  <c r="B23" i="16"/>
  <c r="C16" i="16"/>
  <c r="C17" i="16"/>
  <c r="C18" i="16"/>
  <c r="C19" i="16"/>
  <c r="B4" i="16"/>
  <c r="B14" i="16"/>
  <c r="C9" i="16"/>
  <c r="C10" i="16"/>
  <c r="C11" i="16"/>
  <c r="C12" i="16"/>
  <c r="C7" i="16"/>
  <c r="C8" i="16"/>
  <c r="C5" i="16"/>
  <c r="C6" i="16"/>
  <c r="Q2" i="11"/>
  <c r="Q3" i="11"/>
  <c r="Q4" i="11"/>
  <c r="R2" i="11"/>
  <c r="R4" i="11"/>
  <c r="BG85" i="5"/>
  <c r="BF42" i="5"/>
  <c r="BG42" i="5" s="1"/>
  <c r="L20" i="9"/>
  <c r="BF76" i="5"/>
  <c r="BF12" i="5"/>
  <c r="BG86" i="5"/>
  <c r="AO46" i="5" l="1"/>
  <c r="AX43" i="5"/>
  <c r="AO45" i="5"/>
  <c r="AX40" i="5"/>
  <c r="AO43" i="5" s="1"/>
  <c r="AX42" i="5"/>
  <c r="AX39" i="5"/>
  <c r="AX41" i="5"/>
  <c r="AO44" i="5" s="1"/>
  <c r="AX38" i="5"/>
  <c r="AO41" i="5" s="1"/>
  <c r="AI41" i="5"/>
  <c r="R3" i="11"/>
  <c r="AI24" i="5" s="1"/>
  <c r="AJ24" i="5"/>
  <c r="AJ34" i="5"/>
  <c r="BG43" i="5"/>
  <c r="BG44" i="5"/>
  <c r="AO42" i="5" l="1"/>
  <c r="AN47" i="5" s="1"/>
  <c r="AA14" i="5"/>
  <c r="Z12" i="5" s="1"/>
  <c r="P14" i="5"/>
  <c r="P12" i="5" s="1"/>
  <c r="AI34" i="5"/>
  <c r="AB7" i="9" s="1"/>
  <c r="V6" i="9"/>
  <c r="AG24" i="5"/>
  <c r="F14" i="5" l="1"/>
  <c r="F12" i="5" s="1"/>
  <c r="BB82" i="5"/>
  <c r="BF71" i="5" s="1"/>
  <c r="BB90" i="5"/>
  <c r="F14" i="9"/>
  <c r="BB43" i="5"/>
  <c r="BF29" i="5" s="1"/>
  <c r="BB51" i="5"/>
  <c r="AW5" i="5"/>
  <c r="AF14" i="5" l="1"/>
  <c r="AF17" i="5"/>
  <c r="F12" i="9"/>
  <c r="AB14" i="5"/>
  <c r="T14" i="5"/>
  <c r="AJ11" i="5"/>
  <c r="AW7" i="5" s="1"/>
  <c r="BB18" i="5"/>
  <c r="J14" i="5" s="1"/>
  <c r="BB26" i="5"/>
  <c r="E6" i="5"/>
  <c r="D7" i="9" s="1"/>
  <c r="AO32" i="5" l="1"/>
  <c r="H14" i="9"/>
  <c r="AS12" i="5"/>
  <c r="AX35" i="5" s="1"/>
  <c r="BF7" i="5"/>
  <c r="AX23" i="5"/>
  <c r="AW11" i="5"/>
  <c r="AX33" i="5" l="1"/>
  <c r="AY33" i="5" s="1"/>
  <c r="AY35" i="5"/>
  <c r="AU33" i="5"/>
  <c r="AU35" i="5"/>
  <c r="AX45" i="5"/>
  <c r="AY45" i="5" s="1"/>
  <c r="C48" i="16"/>
  <c r="B3" i="2"/>
  <c r="Q4" i="2"/>
  <c r="S4" i="2" s="1"/>
  <c r="AX24" i="5"/>
  <c r="C49" i="16" l="1"/>
  <c r="E50" i="16"/>
  <c r="G50" i="16"/>
  <c r="D50" i="16"/>
  <c r="E49" i="16"/>
  <c r="D49" i="16"/>
  <c r="F49" i="16"/>
  <c r="F50" i="16"/>
  <c r="G49" i="16"/>
  <c r="E10" i="5"/>
  <c r="D11" i="9" s="1"/>
  <c r="D8" i="2"/>
  <c r="D12" i="2"/>
  <c r="D16" i="2"/>
  <c r="D13" i="2"/>
  <c r="D14" i="2"/>
  <c r="D11" i="2"/>
  <c r="D15" i="2"/>
  <c r="D9" i="2"/>
  <c r="D10" i="2"/>
  <c r="D7" i="2"/>
  <c r="C3" i="2"/>
  <c r="AG41" i="5"/>
  <c r="K13" i="2"/>
  <c r="C23" i="2"/>
  <c r="AQ8" i="5" s="1"/>
  <c r="I16" i="2"/>
  <c r="L14" i="2"/>
  <c r="N15" i="2"/>
  <c r="J16" i="2"/>
  <c r="N12" i="2"/>
  <c r="K14" i="2"/>
  <c r="G15" i="2"/>
  <c r="J7" i="2"/>
  <c r="G7" i="2"/>
  <c r="H10" i="2"/>
  <c r="G8" i="2"/>
  <c r="G14" i="2"/>
  <c r="G10" i="2"/>
  <c r="F10" i="2"/>
  <c r="I9" i="2"/>
  <c r="F16" i="2"/>
  <c r="L16" i="2"/>
  <c r="L11" i="2"/>
  <c r="M13" i="2"/>
  <c r="H8" i="2"/>
  <c r="L8" i="2"/>
  <c r="N9" i="2"/>
  <c r="N8" i="2"/>
  <c r="K9" i="2"/>
  <c r="C29" i="2"/>
  <c r="AQ14" i="5" s="1"/>
  <c r="H16" i="2"/>
  <c r="F14" i="2"/>
  <c r="M7" i="2"/>
  <c r="N16" i="2"/>
  <c r="L10" i="2"/>
  <c r="M15" i="2"/>
  <c r="I14" i="2"/>
  <c r="J10" i="2"/>
  <c r="N7" i="2"/>
  <c r="C27" i="2"/>
  <c r="AQ12" i="5" s="1"/>
  <c r="M16" i="2"/>
  <c r="K10" i="2"/>
  <c r="K12" i="2"/>
  <c r="C25" i="2"/>
  <c r="AQ10" i="5" s="1"/>
  <c r="F11" i="2"/>
  <c r="I12" i="2"/>
  <c r="J11" i="2"/>
  <c r="E7" i="2"/>
  <c r="E16" i="2"/>
  <c r="M12" i="2"/>
  <c r="I15" i="2"/>
  <c r="J12" i="2"/>
  <c r="F15" i="2"/>
  <c r="G13" i="2"/>
  <c r="J15" i="2"/>
  <c r="I10" i="2"/>
  <c r="J8" i="2"/>
  <c r="I11" i="2"/>
  <c r="N14" i="2"/>
  <c r="G12" i="2"/>
  <c r="K8" i="2"/>
  <c r="K7" i="2"/>
  <c r="E8" i="2"/>
  <c r="E13" i="2"/>
  <c r="M14" i="2"/>
  <c r="F7" i="2"/>
  <c r="C21" i="2"/>
  <c r="AQ6" i="5" s="1"/>
  <c r="E9" i="2"/>
  <c r="E14" i="2"/>
  <c r="E11" i="2"/>
  <c r="L13" i="2"/>
  <c r="J13" i="2"/>
  <c r="F12" i="2"/>
  <c r="E10" i="2"/>
  <c r="K15" i="2"/>
  <c r="F8" i="2"/>
  <c r="F9" i="2"/>
  <c r="L7" i="2"/>
  <c r="N10" i="2"/>
  <c r="K11" i="2"/>
  <c r="E15" i="2"/>
  <c r="M11" i="2"/>
  <c r="I7" i="2"/>
  <c r="H11" i="2"/>
  <c r="G16" i="2"/>
  <c r="C20" i="2"/>
  <c r="AQ5" i="5" s="1"/>
  <c r="AX37" i="5" s="1"/>
  <c r="C24" i="2"/>
  <c r="AQ9" i="5" s="1"/>
  <c r="N13" i="2"/>
  <c r="J9" i="2"/>
  <c r="H9" i="2"/>
  <c r="AY43" i="5"/>
  <c r="AY39" i="5"/>
  <c r="M9" i="2"/>
  <c r="H12" i="2"/>
  <c r="K16" i="2"/>
  <c r="F13" i="2"/>
  <c r="C22" i="2"/>
  <c r="AQ7" i="5" s="1"/>
  <c r="H15" i="2"/>
  <c r="M8" i="2"/>
  <c r="H7" i="2"/>
  <c r="M10" i="2"/>
  <c r="H14" i="2"/>
  <c r="E12" i="2"/>
  <c r="G11" i="2"/>
  <c r="L9" i="2"/>
  <c r="I13" i="2"/>
  <c r="J14" i="2"/>
  <c r="N11" i="2"/>
  <c r="C28" i="2"/>
  <c r="AQ13" i="5" s="1"/>
  <c r="H13" i="2"/>
  <c r="G9" i="2"/>
  <c r="I8" i="2"/>
  <c r="L15" i="2"/>
  <c r="C26" i="2"/>
  <c r="AQ11" i="5" s="1"/>
  <c r="L12" i="2"/>
  <c r="C50" i="16"/>
  <c r="AX25" i="5"/>
  <c r="AX27" i="5" s="1"/>
  <c r="AY38" i="5" l="1"/>
  <c r="AO9" i="5"/>
  <c r="AX36" i="5" s="1"/>
  <c r="AY41" i="5"/>
  <c r="AY42" i="5"/>
  <c r="AY40" i="5"/>
  <c r="AY37" i="5"/>
  <c r="AX28" i="5"/>
  <c r="AX31" i="5" s="1"/>
  <c r="AY31" i="5" l="1"/>
  <c r="AX58" i="5"/>
  <c r="AU38" i="5"/>
  <c r="AK5" i="5"/>
  <c r="P27" i="5"/>
  <c r="AY36" i="5"/>
  <c r="AY34" i="5" s="1"/>
  <c r="AX59" i="5"/>
  <c r="AO33" i="5"/>
  <c r="AY13" i="5"/>
  <c r="AY27" i="5"/>
  <c r="AY18" i="5"/>
  <c r="AX29" i="5"/>
  <c r="AX60" i="5" l="1"/>
  <c r="AX57" i="5"/>
  <c r="AX34" i="5"/>
  <c r="AY30" i="5"/>
  <c r="BF8" i="5" s="1"/>
  <c r="BF11" i="5"/>
  <c r="BG12" i="5" s="1"/>
  <c r="BF33" i="5"/>
  <c r="BG34" i="5" s="1"/>
  <c r="BF75" i="5"/>
  <c r="BG76" i="5" s="1"/>
  <c r="AY15" i="5"/>
  <c r="AY14" i="5"/>
  <c r="AX63" i="5" l="1"/>
  <c r="AX64" i="5" s="1"/>
  <c r="AX61" i="5"/>
  <c r="BF30" i="5"/>
  <c r="BF72" i="5"/>
  <c r="AX65" i="5" l="1"/>
  <c r="AX49" i="5" s="1"/>
  <c r="AX62" i="5"/>
  <c r="AX66" i="5"/>
  <c r="AX67" i="5" s="1"/>
  <c r="AY49" i="5" l="1"/>
  <c r="AY56" i="5" l="1"/>
  <c r="AY55" i="5"/>
  <c r="BB86" i="5" s="1"/>
  <c r="AY54" i="5"/>
  <c r="BF70" i="5"/>
  <c r="BF6" i="5"/>
  <c r="BF28" i="5"/>
  <c r="AJ37" i="5" l="1"/>
  <c r="AI37" i="5"/>
  <c r="AB13" i="9" s="1"/>
  <c r="BB22" i="5"/>
  <c r="AG37" i="5"/>
  <c r="BB47" i="5"/>
  <c r="AG31" i="5"/>
  <c r="AJ31" i="5"/>
  <c r="AI31" i="5"/>
  <c r="AG38" i="5"/>
  <c r="BB87" i="5"/>
  <c r="AG33" i="5"/>
  <c r="AI33" i="5"/>
  <c r="BB23" i="5"/>
  <c r="AJ33" i="5"/>
  <c r="BB48" i="5"/>
  <c r="AI38" i="5"/>
  <c r="AI36" i="5" s="1"/>
  <c r="AJ38" i="5"/>
  <c r="AG36" i="5" l="1"/>
  <c r="BE83" i="5"/>
  <c r="BF83" i="5" s="1"/>
  <c r="BE41" i="5"/>
  <c r="AJ36" i="5"/>
  <c r="BG71" i="5" l="1"/>
  <c r="BG72" i="5"/>
  <c r="AJ35" i="5"/>
  <c r="BG70" i="5"/>
  <c r="BG21" i="5"/>
  <c r="BE19" i="5" s="1"/>
  <c r="BF41" i="5"/>
  <c r="BG29" i="5" l="1"/>
  <c r="BG30" i="5"/>
  <c r="BG28" i="5"/>
  <c r="BF19" i="5"/>
  <c r="BG8" i="5" s="1"/>
  <c r="AG34" i="5"/>
  <c r="AI35" i="5"/>
  <c r="AB8" i="9" s="1"/>
  <c r="BG6" i="5" l="1"/>
  <c r="BG7" i="5"/>
  <c r="AG35" i="5"/>
  <c r="Q19" i="9" l="1"/>
  <c r="AG40" i="5" s="1"/>
  <c r="AQ35" i="5"/>
  <c r="AJ4" i="5" l="1"/>
  <c r="B21" i="9"/>
  <c r="AO10" i="5"/>
  <c r="AA24" i="5" s="1"/>
  <c r="AM2" i="5"/>
  <c r="AO11" i="5" l="1"/>
  <c r="AO12" i="5" s="1"/>
  <c r="R24" i="5"/>
  <c r="AM23" i="5"/>
  <c r="AQ33" i="5"/>
  <c r="AM25" i="5"/>
  <c r="AM24" i="5"/>
  <c r="AG42" i="5" l="1"/>
  <c r="AQ34" i="5"/>
  <c r="C4" i="6" l="1"/>
  <c r="F12" i="6" l="1"/>
  <c r="C19" i="6"/>
  <c r="E19" i="6"/>
  <c r="C16" i="6"/>
  <c r="E12" i="6"/>
  <c r="C17" i="6"/>
  <c r="F18" i="6"/>
  <c r="F14" i="6"/>
  <c r="F15" i="6"/>
  <c r="E13" i="6"/>
  <c r="E14" i="6"/>
  <c r="C11" i="6"/>
  <c r="F16" i="6"/>
  <c r="F19" i="6"/>
  <c r="F11" i="6"/>
  <c r="E11" i="6"/>
  <c r="F13" i="6"/>
  <c r="E17" i="6"/>
  <c r="E18" i="6"/>
  <c r="C15" i="6"/>
  <c r="C18" i="6"/>
  <c r="E15" i="6"/>
  <c r="C12" i="6"/>
  <c r="F17" i="6"/>
  <c r="E16" i="6"/>
  <c r="C13" i="6"/>
  <c r="C14" i="6"/>
  <c r="D19" i="6"/>
  <c r="D17" i="6"/>
  <c r="D14" i="6"/>
  <c r="D16" i="6"/>
  <c r="D18" i="6"/>
  <c r="D13" i="6"/>
  <c r="D12" i="6"/>
  <c r="D15" i="6"/>
  <c r="D11" i="6"/>
  <c r="AO28" i="5" l="1"/>
  <c r="AO29" i="5"/>
  <c r="D27" i="6"/>
  <c r="F27" i="6"/>
  <c r="E27" i="6"/>
  <c r="C27" i="6"/>
  <c r="AO23" i="5"/>
  <c r="AO24" i="5"/>
  <c r="AO21" i="5"/>
  <c r="AO25" i="5"/>
  <c r="AO20" i="5"/>
  <c r="AO27" i="5"/>
  <c r="AO30" i="5"/>
  <c r="AT29" i="5" s="1"/>
  <c r="AP28" i="5" s="1"/>
  <c r="AP27" i="5" l="1"/>
  <c r="AQ31" i="5" s="1"/>
  <c r="AQ19" i="5"/>
  <c r="AG43" i="5" l="1"/>
  <c r="AQ20" i="5"/>
  <c r="AS28" i="5" l="1"/>
  <c r="AS29" i="5"/>
  <c r="AT26" i="5" s="1"/>
  <c r="AS27" i="5"/>
  <c r="AT22" i="5" s="1"/>
  <c r="F5" i="5"/>
  <c r="AG44" i="5"/>
  <c r="AT24" i="5" l="1"/>
  <c r="AI45" i="5" s="1"/>
  <c r="AG45" i="5"/>
  <c r="AJ45" i="5"/>
  <c r="BF32" i="5" l="1"/>
  <c r="BG32" i="5" s="1"/>
  <c r="BG27" i="5" s="1"/>
  <c r="BG36" i="5" s="1"/>
  <c r="T22" i="5" s="1"/>
  <c r="BF74" i="5"/>
  <c r="BG74" i="5" s="1"/>
  <c r="BG69" i="5" s="1"/>
  <c r="BG78" i="5" s="1"/>
  <c r="AA22" i="5" s="1"/>
  <c r="BF10" i="5"/>
  <c r="BG10" i="5" s="1"/>
  <c r="BG5" i="5" s="1"/>
  <c r="T21" i="5" l="1"/>
  <c r="AA21" i="5"/>
  <c r="BG79" i="5"/>
  <c r="BG81" i="5" s="1"/>
  <c r="BG37" i="5"/>
  <c r="BG39" i="5" s="1"/>
  <c r="BG14" i="5"/>
  <c r="J22" i="5" s="1"/>
  <c r="H20" i="9" s="1"/>
  <c r="J21" i="5"/>
  <c r="D20" i="9" l="1"/>
  <c r="BG15" i="5"/>
  <c r="BG17" i="5" s="1"/>
  <c r="L24" i="5" l="1"/>
  <c r="B20" i="5" s="1"/>
  <c r="F20" i="5" l="1"/>
  <c r="P20" i="5" s="1"/>
  <c r="AA20" i="5" l="1"/>
  <c r="V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박동근</author>
    <author>user</author>
  </authors>
  <commentList>
    <comment ref="AP2" authorId="0" shapeId="0" xr:uid="{00000000-0006-0000-0100-000001000000}">
      <text>
        <r>
          <rPr>
            <b/>
            <sz val="12"/>
            <color indexed="81"/>
            <rFont val="돋움"/>
            <family val="3"/>
            <charset val="129"/>
          </rPr>
          <t>전기차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경차</t>
        </r>
        <r>
          <rPr>
            <b/>
            <sz val="12"/>
            <color indexed="81"/>
            <rFont val="Tahoma"/>
            <family val="2"/>
          </rPr>
          <t>(</t>
        </r>
        <r>
          <rPr>
            <b/>
            <sz val="12"/>
            <color indexed="81"/>
            <rFont val="돋움"/>
            <family val="3"/>
            <charset val="129"/>
          </rPr>
          <t>볼트</t>
        </r>
        <r>
          <rPr>
            <b/>
            <sz val="12"/>
            <color indexed="81"/>
            <rFont val="Tahoma"/>
            <family val="2"/>
          </rPr>
          <t>/</t>
        </r>
        <r>
          <rPr>
            <b/>
            <sz val="12"/>
            <color indexed="81"/>
            <rFont val="돋움"/>
            <family val="3"/>
            <charset val="129"/>
          </rPr>
          <t>조에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등</t>
        </r>
        <r>
          <rPr>
            <b/>
            <sz val="12"/>
            <color indexed="81"/>
            <rFont val="Tahoma"/>
            <family val="2"/>
          </rPr>
          <t>)</t>
        </r>
        <r>
          <rPr>
            <b/>
            <sz val="12"/>
            <color indexed="81"/>
            <rFont val="돋움"/>
            <family val="3"/>
            <charset val="129"/>
          </rPr>
          <t>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소형차종처럼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과세로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사와야함</t>
        </r>
        <r>
          <rPr>
            <b/>
            <sz val="12"/>
            <color indexed="81"/>
            <rFont val="Tahoma"/>
            <family val="2"/>
          </rPr>
          <t>(</t>
        </r>
        <r>
          <rPr>
            <b/>
            <sz val="12"/>
            <color indexed="81"/>
            <rFont val="돋움"/>
            <family val="3"/>
            <charset val="129"/>
          </rPr>
          <t>차량가</t>
        </r>
        <r>
          <rPr>
            <b/>
            <sz val="12"/>
            <color indexed="81"/>
            <rFont val="Tahoma"/>
            <family val="2"/>
          </rPr>
          <t>=</t>
        </r>
        <r>
          <rPr>
            <b/>
            <sz val="12"/>
            <color indexed="81"/>
            <rFont val="돋움"/>
            <family val="3"/>
            <charset val="129"/>
          </rPr>
          <t>면세가</t>
        </r>
        <r>
          <rPr>
            <b/>
            <sz val="12"/>
            <color indexed="81"/>
            <rFont val="Tahoma"/>
            <family val="2"/>
          </rPr>
          <t>)</t>
        </r>
        <r>
          <rPr>
            <b/>
            <sz val="12"/>
            <color indexed="81"/>
            <rFont val="돋움"/>
            <family val="3"/>
            <charset val="129"/>
          </rPr>
          <t>강제조정</t>
        </r>
      </text>
    </comment>
    <comment ref="AP20" authorId="1" shapeId="0" xr:uid="{00000000-0006-0000-0100-000002000000}">
      <text>
        <r>
          <rPr>
            <b/>
            <sz val="12"/>
            <color indexed="81"/>
            <rFont val="돋움"/>
            <family val="3"/>
            <charset val="129"/>
          </rPr>
          <t>공제조합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분답할증금
최종</t>
        </r>
        <r>
          <rPr>
            <b/>
            <sz val="12"/>
            <color indexed="81"/>
            <rFont val="Tahoma"/>
            <family val="2"/>
          </rPr>
          <t xml:space="preserve"> +13,000</t>
        </r>
        <r>
          <rPr>
            <b/>
            <sz val="12"/>
            <color indexed="81"/>
            <rFont val="돋움"/>
            <family val="3"/>
            <charset val="129"/>
          </rPr>
          <t>원</t>
        </r>
      </text>
    </comment>
    <comment ref="AX49" authorId="0" shapeId="0" xr:uid="{00000000-0006-0000-0100-000003000000}">
      <text>
        <r>
          <rPr>
            <b/>
            <sz val="11"/>
            <color indexed="81"/>
            <rFont val="돋움"/>
            <family val="3"/>
            <charset val="129"/>
          </rPr>
          <t>개소세율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변동되면</t>
        </r>
        <r>
          <rPr>
            <b/>
            <sz val="11"/>
            <color indexed="81"/>
            <rFont val="Tahoma"/>
            <family val="2"/>
          </rPr>
          <t xml:space="preserve"> 
6.5% </t>
        </r>
        <r>
          <rPr>
            <b/>
            <sz val="11"/>
            <color indexed="81"/>
            <rFont val="돋움"/>
            <family val="3"/>
            <charset val="129"/>
          </rPr>
          <t>수기조정</t>
        </r>
      </text>
    </comment>
  </commentList>
</comments>
</file>

<file path=xl/sharedStrings.xml><?xml version="1.0" encoding="utf-8"?>
<sst xmlns="http://schemas.openxmlformats.org/spreadsheetml/2006/main" count="10321" uniqueCount="2022">
  <si>
    <t>칠곡탁송</t>
    <phoneticPr fontId="5" type="noConversion"/>
  </si>
  <si>
    <t>선택정보</t>
    <phoneticPr fontId="5" type="noConversion"/>
  </si>
  <si>
    <t>견적반영</t>
    <phoneticPr fontId="5" type="noConversion"/>
  </si>
  <si>
    <t>탁송사key</t>
    <phoneticPr fontId="5" type="noConversion"/>
  </si>
  <si>
    <t>인도지역key</t>
    <phoneticPr fontId="5" type="noConversion"/>
  </si>
  <si>
    <t>1+2차합계 외주탁송료</t>
    <phoneticPr fontId="5" type="noConversion"/>
  </si>
  <si>
    <t>제조사탁송료</t>
    <phoneticPr fontId="5" type="noConversion"/>
  </si>
  <si>
    <t>제조사</t>
    <phoneticPr fontId="11" type="noConversion"/>
  </si>
  <si>
    <t>구분</t>
    <phoneticPr fontId="11" type="noConversion"/>
  </si>
  <si>
    <t>현대</t>
    <phoneticPr fontId="11" type="noConversion"/>
  </si>
  <si>
    <t>기아</t>
    <phoneticPr fontId="11" type="noConversion"/>
  </si>
  <si>
    <t>삼성</t>
    <phoneticPr fontId="11" type="noConversion"/>
  </si>
  <si>
    <t>쉐보레</t>
    <phoneticPr fontId="11" type="noConversion"/>
  </si>
  <si>
    <t>쌍용</t>
    <phoneticPr fontId="11" type="noConversion"/>
  </si>
  <si>
    <t>출고지</t>
    <phoneticPr fontId="11" type="noConversion"/>
  </si>
  <si>
    <t>01:아산</t>
    <phoneticPr fontId="14" type="noConversion"/>
  </si>
  <si>
    <t>02:울산</t>
    <phoneticPr fontId="14" type="noConversion"/>
  </si>
  <si>
    <t>03:울산대형</t>
    <phoneticPr fontId="5" type="noConversion"/>
  </si>
  <si>
    <t>04:서산</t>
  </si>
  <si>
    <t>05:소하리</t>
  </si>
  <si>
    <t>06:화성</t>
  </si>
  <si>
    <t>07:광주</t>
  </si>
  <si>
    <t>08:부산</t>
  </si>
  <si>
    <t>09:인천</t>
  </si>
  <si>
    <t>10:군산</t>
  </si>
  <si>
    <t>11:창원</t>
  </si>
  <si>
    <t>12:평택</t>
  </si>
  <si>
    <t>차 종</t>
    <phoneticPr fontId="11" type="noConversion"/>
  </si>
  <si>
    <t>쏘나타
그랜져</t>
    <phoneticPr fontId="11" type="noConversion"/>
  </si>
  <si>
    <t>모닝
레이</t>
    <phoneticPr fontId="11" type="noConversion"/>
  </si>
  <si>
    <t>칠곡-외주탁송1,2차 합계</t>
    <phoneticPr fontId="5" type="noConversion"/>
  </si>
  <si>
    <t>서울(경기)</t>
    <phoneticPr fontId="11" type="noConversion"/>
  </si>
  <si>
    <t>1,2차 합계</t>
    <phoneticPr fontId="11" type="noConversion"/>
  </si>
  <si>
    <t>유림</t>
    <phoneticPr fontId="5" type="noConversion"/>
  </si>
  <si>
    <t>강원(영동)</t>
    <phoneticPr fontId="11" type="noConversion"/>
  </si>
  <si>
    <t>강원(영서)</t>
    <phoneticPr fontId="11" type="noConversion"/>
  </si>
  <si>
    <t>충북</t>
    <phoneticPr fontId="11" type="noConversion"/>
  </si>
  <si>
    <t>충남</t>
    <phoneticPr fontId="11" type="noConversion"/>
  </si>
  <si>
    <t>전북</t>
    <phoneticPr fontId="11" type="noConversion"/>
  </si>
  <si>
    <t>전남</t>
    <phoneticPr fontId="11" type="noConversion"/>
  </si>
  <si>
    <t>경북</t>
    <phoneticPr fontId="11" type="noConversion"/>
  </si>
  <si>
    <t>경남</t>
    <phoneticPr fontId="11" type="noConversion"/>
  </si>
  <si>
    <t>제주</t>
    <phoneticPr fontId="11" type="noConversion"/>
  </si>
  <si>
    <t>■ 고객인도지역</t>
    <phoneticPr fontId="5" type="noConversion"/>
  </si>
  <si>
    <t>탁송지</t>
    <phoneticPr fontId="14" type="noConversion"/>
  </si>
  <si>
    <t>2차 탁송</t>
    <phoneticPr fontId="11" type="noConversion"/>
  </si>
  <si>
    <t>서울/경기</t>
    <phoneticPr fontId="5" type="noConversion"/>
  </si>
  <si>
    <t>견적기 안내 NOTICE</t>
    <phoneticPr fontId="5" type="noConversion"/>
  </si>
  <si>
    <t>강원(영동)</t>
  </si>
  <si>
    <t>강원(영서)</t>
  </si>
  <si>
    <t>충북</t>
  </si>
  <si>
    <t>충남</t>
  </si>
  <si>
    <t>전북</t>
  </si>
  <si>
    <t>전남</t>
  </si>
  <si>
    <t>경북</t>
  </si>
  <si>
    <t>경남</t>
  </si>
  <si>
    <t>제주</t>
  </si>
  <si>
    <t>■ 유림</t>
    <phoneticPr fontId="5" type="noConversion"/>
  </si>
  <si>
    <t>■ 출고지역</t>
    <phoneticPr fontId="5" type="noConversion"/>
  </si>
  <si>
    <t>출고지</t>
    <phoneticPr fontId="14" type="noConversion"/>
  </si>
  <si>
    <t>2차 탁송료</t>
    <phoneticPr fontId="11" type="noConversion"/>
  </si>
  <si>
    <t>04:서산</t>
    <phoneticPr fontId="14" type="noConversion"/>
  </si>
  <si>
    <t>05:소하리</t>
    <phoneticPr fontId="14" type="noConversion"/>
  </si>
  <si>
    <t>06:화성</t>
    <phoneticPr fontId="14" type="noConversion"/>
  </si>
  <si>
    <t>07:광주</t>
    <phoneticPr fontId="14" type="noConversion"/>
  </si>
  <si>
    <t>08:부산</t>
    <phoneticPr fontId="14" type="noConversion"/>
  </si>
  <si>
    <t>09:인천</t>
    <phoneticPr fontId="14" type="noConversion"/>
  </si>
  <si>
    <t>11:창원</t>
    <phoneticPr fontId="14" type="noConversion"/>
  </si>
  <si>
    <t>12:평택</t>
    <phoneticPr fontId="14" type="noConversion"/>
  </si>
  <si>
    <t>13:기타</t>
    <phoneticPr fontId="14" type="noConversion"/>
  </si>
  <si>
    <t>아산</t>
    <phoneticPr fontId="11" type="noConversion"/>
  </si>
  <si>
    <t>울산</t>
    <phoneticPr fontId="11" type="noConversion"/>
  </si>
  <si>
    <t>서산</t>
    <phoneticPr fontId="11" type="noConversion"/>
  </si>
  <si>
    <t>소하리</t>
    <phoneticPr fontId="11" type="noConversion"/>
  </si>
  <si>
    <t>화성</t>
    <phoneticPr fontId="11" type="noConversion"/>
  </si>
  <si>
    <t>광주</t>
    <phoneticPr fontId="11" type="noConversion"/>
  </si>
  <si>
    <t>부산</t>
    <phoneticPr fontId="11" type="noConversion"/>
  </si>
  <si>
    <t>인천</t>
    <phoneticPr fontId="11" type="noConversion"/>
  </si>
  <si>
    <t>창원</t>
    <phoneticPr fontId="11" type="noConversion"/>
  </si>
  <si>
    <t>평택</t>
    <phoneticPr fontId="11" type="noConversion"/>
  </si>
  <si>
    <t>서울(경기)</t>
  </si>
  <si>
    <t>2차</t>
    <phoneticPr fontId="11" type="noConversion"/>
  </si>
  <si>
    <t>아산</t>
    <phoneticPr fontId="14" type="noConversion"/>
  </si>
  <si>
    <t>울산</t>
    <phoneticPr fontId="14" type="noConversion"/>
  </si>
  <si>
    <t>울산대형</t>
    <phoneticPr fontId="5" type="noConversion"/>
  </si>
  <si>
    <t>차종</t>
    <phoneticPr fontId="11" type="noConversion"/>
  </si>
  <si>
    <t>■ 출고지역</t>
    <phoneticPr fontId="11" type="noConversion"/>
  </si>
  <si>
    <t>■ 고객 인도지역</t>
    <phoneticPr fontId="11" type="noConversion"/>
  </si>
  <si>
    <t>말리부</t>
    <phoneticPr fontId="11" type="noConversion"/>
  </si>
  <si>
    <t>아반떼</t>
    <phoneticPr fontId="11" type="noConversion"/>
  </si>
  <si>
    <t>모델명</t>
    <phoneticPr fontId="5" type="noConversion"/>
  </si>
  <si>
    <t xml:space="preserve">모닝 가솔린 1.0 </t>
  </si>
  <si>
    <t>전기차</t>
    <phoneticPr fontId="5" type="noConversion"/>
  </si>
  <si>
    <t>브랜드</t>
    <phoneticPr fontId="5" type="noConversion"/>
  </si>
  <si>
    <t>비고</t>
    <phoneticPr fontId="5" type="noConversion"/>
  </si>
  <si>
    <t>현대</t>
  </si>
  <si>
    <t>GRD</t>
  </si>
  <si>
    <t>AVT</t>
  </si>
  <si>
    <t>제네시스</t>
  </si>
  <si>
    <t>STF</t>
  </si>
  <si>
    <t>싼타페</t>
  </si>
  <si>
    <t>G80</t>
  </si>
  <si>
    <t>투싼</t>
  </si>
  <si>
    <t>G70</t>
  </si>
  <si>
    <t>TSN</t>
  </si>
  <si>
    <t>코나</t>
  </si>
  <si>
    <t>ION</t>
  </si>
  <si>
    <t>PLS</t>
  </si>
  <si>
    <t>KNA</t>
  </si>
  <si>
    <t>G90</t>
  </si>
  <si>
    <t>쏘나타</t>
    <phoneticPr fontId="5" type="noConversion"/>
  </si>
  <si>
    <t>기아</t>
  </si>
  <si>
    <t>K5</t>
  </si>
  <si>
    <t>베뉴</t>
  </si>
  <si>
    <t>스팅어</t>
  </si>
  <si>
    <t>K9A</t>
  </si>
  <si>
    <t>RAY</t>
  </si>
  <si>
    <t>레이</t>
  </si>
  <si>
    <t>SPT</t>
  </si>
  <si>
    <t>스포티지</t>
  </si>
  <si>
    <t>불가</t>
    <phoneticPr fontId="5" type="noConversion"/>
  </si>
  <si>
    <t>ASR</t>
  </si>
  <si>
    <t>NRO</t>
  </si>
  <si>
    <t>니로</t>
  </si>
  <si>
    <t>르노</t>
  </si>
  <si>
    <t>SM6</t>
  </si>
  <si>
    <t>QM6</t>
  </si>
  <si>
    <t>GM</t>
  </si>
  <si>
    <t>셀토스</t>
  </si>
  <si>
    <t>KRD</t>
  </si>
  <si>
    <t>TVR</t>
  </si>
  <si>
    <t>EQU</t>
  </si>
  <si>
    <t>트래버스</t>
  </si>
  <si>
    <t xml:space="preserve">  </t>
    <phoneticPr fontId="5" type="noConversion"/>
  </si>
  <si>
    <t>면세가격</t>
    <phoneticPr fontId="5" type="noConversion"/>
  </si>
  <si>
    <t>DISPLAY아님 原모델명</t>
    <phoneticPr fontId="5" type="noConversion"/>
  </si>
  <si>
    <t>담당자</t>
    <phoneticPr fontId="5" type="noConversion"/>
  </si>
  <si>
    <t xml:space="preserve"> </t>
    <phoneticPr fontId="5" type="noConversion"/>
  </si>
  <si>
    <t>대리점 탁송업체</t>
    <phoneticPr fontId="5" type="noConversion"/>
  </si>
  <si>
    <t>인도지역</t>
    <phoneticPr fontId="5" type="noConversion"/>
  </si>
  <si>
    <t>구분</t>
    <phoneticPr fontId="5" type="noConversion"/>
  </si>
  <si>
    <t>상세</t>
    <phoneticPr fontId="5" type="noConversion"/>
  </si>
  <si>
    <t>견적1</t>
    <phoneticPr fontId="5" type="noConversion"/>
  </si>
  <si>
    <t>IRR</t>
    <phoneticPr fontId="5" type="noConversion"/>
  </si>
  <si>
    <t>작성일</t>
    <phoneticPr fontId="5" type="noConversion"/>
  </si>
  <si>
    <t>유효일자</t>
    <phoneticPr fontId="5" type="noConversion"/>
  </si>
  <si>
    <t>탁송방식</t>
    <phoneticPr fontId="5" type="noConversion"/>
  </si>
  <si>
    <t>고객정보</t>
    <phoneticPr fontId="5" type="noConversion"/>
  </si>
  <si>
    <t>대구분</t>
    <phoneticPr fontId="5" type="noConversion"/>
  </si>
  <si>
    <t>소구분</t>
    <phoneticPr fontId="5" type="noConversion"/>
  </si>
  <si>
    <t>원금</t>
    <phoneticPr fontId="5" type="noConversion"/>
  </si>
  <si>
    <t>납입금</t>
    <phoneticPr fontId="5" type="noConversion"/>
  </si>
  <si>
    <t>상품구분</t>
    <phoneticPr fontId="5" type="noConversion"/>
  </si>
  <si>
    <t>추가 상승분</t>
    <phoneticPr fontId="5" type="noConversion"/>
  </si>
  <si>
    <t>면세가 수기조정(수입+소형과세)</t>
    <phoneticPr fontId="5" type="noConversion"/>
  </si>
  <si>
    <t>법인</t>
    <phoneticPr fontId="5" type="noConversion"/>
  </si>
  <si>
    <t>DISPLAY모델</t>
    <phoneticPr fontId="5" type="noConversion"/>
  </si>
  <si>
    <t>제조사</t>
    <phoneticPr fontId="5" type="noConversion"/>
  </si>
  <si>
    <t>공급가액</t>
    <phoneticPr fontId="5" type="noConversion"/>
  </si>
  <si>
    <t>Network</t>
    <phoneticPr fontId="5" type="noConversion"/>
  </si>
  <si>
    <t>보증+선수금율</t>
    <phoneticPr fontId="5" type="noConversion"/>
  </si>
  <si>
    <t>추가 IRR</t>
    <phoneticPr fontId="5" type="noConversion"/>
  </si>
  <si>
    <t>차량모델</t>
    <phoneticPr fontId="5" type="noConversion"/>
  </si>
  <si>
    <t>색상(외/내장)</t>
    <phoneticPr fontId="5" type="noConversion"/>
  </si>
  <si>
    <t>기본가격</t>
    <phoneticPr fontId="5" type="noConversion"/>
  </si>
  <si>
    <t>옵션가격</t>
    <phoneticPr fontId="5" type="noConversion"/>
  </si>
  <si>
    <t>본사출고</t>
    <phoneticPr fontId="5" type="noConversion"/>
  </si>
  <si>
    <t>차량가격</t>
    <phoneticPr fontId="5" type="noConversion"/>
  </si>
  <si>
    <t>상환섹터1</t>
    <phoneticPr fontId="5" type="noConversion"/>
  </si>
  <si>
    <t>차량가(+개소세)</t>
    <phoneticPr fontId="5" type="noConversion"/>
  </si>
  <si>
    <t>옵션내용</t>
    <phoneticPr fontId="5" type="noConversion"/>
  </si>
  <si>
    <t>고객구매가</t>
    <phoneticPr fontId="5" type="noConversion"/>
  </si>
  <si>
    <t>대리점출고</t>
    <phoneticPr fontId="5" type="noConversion"/>
  </si>
  <si>
    <t>할인금액</t>
    <phoneticPr fontId="5" type="noConversion"/>
  </si>
  <si>
    <t>차량가 직접입력</t>
    <phoneticPr fontId="5" type="noConversion"/>
  </si>
  <si>
    <t>상환섹터2</t>
    <phoneticPr fontId="5" type="noConversion"/>
  </si>
  <si>
    <t>잔가</t>
    <phoneticPr fontId="5" type="noConversion"/>
  </si>
  <si>
    <t>Direct(일반)</t>
    <phoneticPr fontId="5" type="noConversion"/>
  </si>
  <si>
    <t>0%~5%미만</t>
    <phoneticPr fontId="5" type="noConversion"/>
  </si>
  <si>
    <t>배기량/인승</t>
    <phoneticPr fontId="5" type="noConversion"/>
  </si>
  <si>
    <t>색상</t>
    <phoneticPr fontId="5" type="noConversion"/>
  </si>
  <si>
    <t>차량출고지</t>
    <phoneticPr fontId="5" type="noConversion"/>
  </si>
  <si>
    <t>옵션금액</t>
    <phoneticPr fontId="5" type="noConversion"/>
  </si>
  <si>
    <t>상환섹터3</t>
    <phoneticPr fontId="5" type="noConversion"/>
  </si>
  <si>
    <t>등록부대비용</t>
    <phoneticPr fontId="5" type="noConversion"/>
  </si>
  <si>
    <t>지급인센티브</t>
    <phoneticPr fontId="5" type="noConversion"/>
  </si>
  <si>
    <t>5~10%미만</t>
    <phoneticPr fontId="5" type="noConversion"/>
  </si>
  <si>
    <t>총 차량가격</t>
    <phoneticPr fontId="5" type="noConversion"/>
  </si>
  <si>
    <t>면세가 수입차 인식(개소세율 역산)</t>
    <phoneticPr fontId="5" type="noConversion"/>
  </si>
  <si>
    <t>1+2차 합계 외주탁송</t>
    <phoneticPr fontId="5" type="noConversion"/>
  </si>
  <si>
    <t>탁송 업체</t>
    <phoneticPr fontId="5" type="noConversion"/>
  </si>
  <si>
    <t>탁송료</t>
    <phoneticPr fontId="5" type="noConversion"/>
  </si>
  <si>
    <t>상환섹터4</t>
    <phoneticPr fontId="5" type="noConversion"/>
  </si>
  <si>
    <t>차세</t>
    <phoneticPr fontId="5" type="noConversion"/>
  </si>
  <si>
    <t>할부형렌트 추가 IRR</t>
    <phoneticPr fontId="5" type="noConversion"/>
  </si>
  <si>
    <t>10~20%미만</t>
    <phoneticPr fontId="5" type="noConversion"/>
  </si>
  <si>
    <t>추가용품</t>
    <phoneticPr fontId="5" type="noConversion"/>
  </si>
  <si>
    <t>본사출고 탁송업체</t>
    <phoneticPr fontId="5" type="noConversion"/>
  </si>
  <si>
    <t>상환섹터5</t>
    <phoneticPr fontId="5" type="noConversion"/>
  </si>
  <si>
    <t>보험료</t>
    <phoneticPr fontId="5" type="noConversion"/>
  </si>
  <si>
    <t>견적2</t>
    <phoneticPr fontId="5" type="noConversion"/>
  </si>
  <si>
    <t>20~30%이하</t>
    <phoneticPr fontId="5" type="noConversion"/>
  </si>
  <si>
    <t>대리점할인</t>
    <phoneticPr fontId="5" type="noConversion"/>
  </si>
  <si>
    <t>차량 인도지역</t>
    <phoneticPr fontId="5" type="noConversion"/>
  </si>
  <si>
    <t>대리점 출고-탁송업체</t>
    <phoneticPr fontId="5" type="noConversion"/>
  </si>
  <si>
    <t>계산서가액</t>
    <phoneticPr fontId="5" type="noConversion"/>
  </si>
  <si>
    <t>수입탁송료제외</t>
    <phoneticPr fontId="5" type="noConversion"/>
  </si>
  <si>
    <t>LDW</t>
    <phoneticPr fontId="5" type="noConversion"/>
  </si>
  <si>
    <t>배기량</t>
    <phoneticPr fontId="5" type="noConversion"/>
  </si>
  <si>
    <t>약정거리</t>
    <phoneticPr fontId="5" type="noConversion"/>
  </si>
  <si>
    <t>상환섹터6</t>
    <phoneticPr fontId="5" type="noConversion"/>
  </si>
  <si>
    <t>정비</t>
    <phoneticPr fontId="5" type="noConversion"/>
  </si>
  <si>
    <t>네트워크 IRR</t>
    <phoneticPr fontId="5" type="noConversion"/>
  </si>
  <si>
    <t>다이렉트 IRR</t>
    <phoneticPr fontId="5" type="noConversion"/>
  </si>
  <si>
    <t>보증+선수율 30% 초과 불가</t>
    <phoneticPr fontId="5" type="noConversion"/>
  </si>
  <si>
    <t>렌트기간</t>
    <phoneticPr fontId="5" type="noConversion"/>
  </si>
  <si>
    <t>개월</t>
    <phoneticPr fontId="5" type="noConversion"/>
  </si>
  <si>
    <t>내수구분코드</t>
    <phoneticPr fontId="5" type="noConversion"/>
  </si>
  <si>
    <t>차고지</t>
    <phoneticPr fontId="5" type="noConversion"/>
  </si>
  <si>
    <t>렌터카운용[8811002]</t>
    <phoneticPr fontId="5" type="noConversion"/>
  </si>
  <si>
    <t>만기인수가</t>
    <phoneticPr fontId="5" type="noConversion"/>
  </si>
  <si>
    <t>원</t>
    <phoneticPr fontId="5" type="noConversion"/>
  </si>
  <si>
    <t>사용본거지</t>
    <phoneticPr fontId="5" type="noConversion"/>
  </si>
  <si>
    <t>전략차종코드</t>
    <phoneticPr fontId="5" type="noConversion"/>
  </si>
  <si>
    <t>부가세</t>
    <phoneticPr fontId="5" type="noConversion"/>
  </si>
  <si>
    <t>할부형렌터카[8811001]</t>
    <phoneticPr fontId="5" type="noConversion"/>
  </si>
  <si>
    <t>초기납입금</t>
    <phoneticPr fontId="5" type="noConversion"/>
  </si>
  <si>
    <t>정비등급코드</t>
    <phoneticPr fontId="5" type="noConversion"/>
  </si>
  <si>
    <t>렌탈료</t>
    <phoneticPr fontId="5" type="noConversion"/>
  </si>
  <si>
    <t>보증금</t>
    <phoneticPr fontId="5" type="noConversion"/>
  </si>
  <si>
    <t>블랙박스</t>
    <phoneticPr fontId="5" type="noConversion"/>
  </si>
  <si>
    <t>■ 보험기준</t>
    <phoneticPr fontId="5" type="noConversion"/>
  </si>
  <si>
    <t>유종코드</t>
    <phoneticPr fontId="5" type="noConversion"/>
  </si>
  <si>
    <t>선납렌트료</t>
    <phoneticPr fontId="5" type="noConversion"/>
  </si>
  <si>
    <t>선수금</t>
    <phoneticPr fontId="5" type="noConversion"/>
  </si>
  <si>
    <t>운전자연령</t>
    <phoneticPr fontId="5" type="noConversion"/>
  </si>
  <si>
    <t>인승</t>
    <phoneticPr fontId="5" type="noConversion"/>
  </si>
  <si>
    <t>무제한</t>
    <phoneticPr fontId="5" type="noConversion"/>
  </si>
  <si>
    <t>월 불입금</t>
    <phoneticPr fontId="5" type="noConversion"/>
  </si>
  <si>
    <t>정비상품</t>
    <phoneticPr fontId="5" type="noConversion"/>
  </si>
  <si>
    <t>전면썬팅</t>
    <phoneticPr fontId="5" type="noConversion"/>
  </si>
  <si>
    <t>분담금할증한정특약</t>
    <phoneticPr fontId="5" type="noConversion"/>
  </si>
  <si>
    <t>대구</t>
    <phoneticPr fontId="5" type="noConversion"/>
  </si>
  <si>
    <t>책임보험료</t>
    <phoneticPr fontId="5" type="noConversion"/>
  </si>
  <si>
    <t>창원</t>
    <phoneticPr fontId="5" type="noConversion"/>
  </si>
  <si>
    <t>PMT</t>
    <phoneticPr fontId="5" type="noConversion"/>
  </si>
  <si>
    <t>대인Ⅰ</t>
    <phoneticPr fontId="5" type="noConversion"/>
  </si>
  <si>
    <t>보험료합계</t>
    <phoneticPr fontId="5" type="noConversion"/>
  </si>
  <si>
    <t>제주</t>
    <phoneticPr fontId="5" type="noConversion"/>
  </si>
  <si>
    <t>irr 인하 차종</t>
    <phoneticPr fontId="5" type="noConversion"/>
  </si>
  <si>
    <t>기준가격</t>
  </si>
  <si>
    <t>공급가</t>
    <phoneticPr fontId="5" type="noConversion"/>
  </si>
  <si>
    <t>대인Ⅱ</t>
    <phoneticPr fontId="5" type="noConversion"/>
  </si>
  <si>
    <t>차세기준</t>
    <phoneticPr fontId="5" type="noConversion"/>
  </si>
  <si>
    <t>선수율</t>
    <phoneticPr fontId="5" type="noConversion"/>
  </si>
  <si>
    <t>대물</t>
    <phoneticPr fontId="5" type="noConversion"/>
  </si>
  <si>
    <t>금액</t>
    <phoneticPr fontId="5" type="noConversion"/>
  </si>
  <si>
    <t>과세반영</t>
    <phoneticPr fontId="5" type="noConversion"/>
  </si>
  <si>
    <t>판매사원</t>
    <phoneticPr fontId="5" type="noConversion"/>
  </si>
  <si>
    <t>선납렌트료(-)</t>
    <phoneticPr fontId="5" type="noConversion"/>
  </si>
  <si>
    <t xml:space="preserve">   </t>
    <phoneticPr fontId="5" type="noConversion"/>
  </si>
  <si>
    <t>복합탁송</t>
  </si>
  <si>
    <t>차량가</t>
    <phoneticPr fontId="5" type="noConversion"/>
  </si>
  <si>
    <t>판매가</t>
    <phoneticPr fontId="5" type="noConversion"/>
  </si>
  <si>
    <t>CA</t>
    <phoneticPr fontId="5" type="noConversion"/>
  </si>
  <si>
    <t>2억원</t>
    <phoneticPr fontId="5" type="noConversion"/>
  </si>
  <si>
    <t>고잔가수수료</t>
    <phoneticPr fontId="5" type="noConversion"/>
  </si>
  <si>
    <t>보증+선수</t>
    <phoneticPr fontId="5" type="noConversion"/>
  </si>
  <si>
    <t>임직원전용</t>
    <phoneticPr fontId="5" type="noConversion"/>
  </si>
  <si>
    <t>주의문구</t>
    <phoneticPr fontId="5" type="noConversion"/>
  </si>
  <si>
    <t>as</t>
    <phoneticPr fontId="5" type="noConversion"/>
  </si>
  <si>
    <t>to-be</t>
    <phoneticPr fontId="5" type="noConversion"/>
  </si>
  <si>
    <t>계산서가</t>
    <phoneticPr fontId="5" type="noConversion"/>
  </si>
  <si>
    <t>1%수수료 인하</t>
    <phoneticPr fontId="5" type="noConversion"/>
  </si>
  <si>
    <t>가능인센티브</t>
    <phoneticPr fontId="5" type="noConversion"/>
  </si>
  <si>
    <t>전기차취급</t>
    <phoneticPr fontId="5" type="noConversion"/>
  </si>
  <si>
    <t>출고의무보험- 부대비용합산</t>
    <phoneticPr fontId="5" type="noConversion"/>
  </si>
  <si>
    <t>대형차종</t>
    <phoneticPr fontId="5" type="noConversion"/>
  </si>
  <si>
    <t>제네시스/K8/카니발/쏘렌토</t>
    <phoneticPr fontId="5" type="noConversion"/>
  </si>
  <si>
    <t>미적용</t>
    <phoneticPr fontId="5" type="noConversion"/>
  </si>
  <si>
    <t>무보험</t>
    <phoneticPr fontId="5" type="noConversion"/>
  </si>
  <si>
    <t>등록비용</t>
    <phoneticPr fontId="5" type="noConversion"/>
  </si>
  <si>
    <t>소계</t>
    <phoneticPr fontId="5" type="noConversion"/>
  </si>
  <si>
    <t>선구매차종</t>
    <phoneticPr fontId="5" type="noConversion"/>
  </si>
  <si>
    <t>그랜저2020/K8 2021</t>
    <phoneticPr fontId="5" type="noConversion"/>
  </si>
  <si>
    <t>긴급출동</t>
    <phoneticPr fontId="5" type="noConversion"/>
  </si>
  <si>
    <t>취득세</t>
    <phoneticPr fontId="5" type="noConversion"/>
  </si>
  <si>
    <t>고객금리</t>
    <phoneticPr fontId="5" type="noConversion"/>
  </si>
  <si>
    <t>자차</t>
    <phoneticPr fontId="5" type="noConversion"/>
  </si>
  <si>
    <t>공제조합대상</t>
    <phoneticPr fontId="5" type="noConversion"/>
  </si>
  <si>
    <t>공채</t>
    <phoneticPr fontId="5" type="noConversion"/>
  </si>
  <si>
    <t>운전연령</t>
    <phoneticPr fontId="5" type="noConversion"/>
  </si>
  <si>
    <t>대인Ⅰ/ Ⅱ</t>
    <phoneticPr fontId="5" type="noConversion"/>
  </si>
  <si>
    <t>자배법/무한</t>
    <phoneticPr fontId="5" type="noConversion"/>
  </si>
  <si>
    <t>운전자범위</t>
    <phoneticPr fontId="5" type="noConversion"/>
  </si>
  <si>
    <t>*임직원한정특약가입 : 임직원 및 관계사 임직원</t>
  </si>
  <si>
    <t>마이카연결</t>
    <phoneticPr fontId="5" type="noConversion"/>
  </si>
  <si>
    <t>증지세/번호판대</t>
    <phoneticPr fontId="5" type="noConversion"/>
  </si>
  <si>
    <t>자기신체</t>
    <phoneticPr fontId="5" type="noConversion"/>
  </si>
  <si>
    <t>무보험차</t>
    <phoneticPr fontId="5" type="noConversion"/>
  </si>
  <si>
    <t>자기부담금</t>
    <phoneticPr fontId="5" type="noConversion"/>
  </si>
  <si>
    <t>공제조합추가료</t>
    <phoneticPr fontId="5" type="noConversion"/>
  </si>
  <si>
    <t>보험료최종</t>
    <phoneticPr fontId="5" type="noConversion"/>
  </si>
  <si>
    <t>부대비용</t>
    <phoneticPr fontId="5" type="noConversion"/>
  </si>
  <si>
    <t>■ 용품</t>
    <phoneticPr fontId="5" type="noConversion"/>
  </si>
  <si>
    <t>26세개인 공제조합 프로모션</t>
    <phoneticPr fontId="5" type="noConversion"/>
  </si>
  <si>
    <t>등록수수료</t>
    <phoneticPr fontId="5" type="noConversion"/>
  </si>
  <si>
    <t>1-2차 합계 탁송료</t>
    <phoneticPr fontId="5" type="noConversion"/>
  </si>
  <si>
    <t>정비방식</t>
    <phoneticPr fontId="5" type="noConversion"/>
  </si>
  <si>
    <t>소모품</t>
    <phoneticPr fontId="5" type="noConversion"/>
  </si>
  <si>
    <t>기본SVC</t>
    <phoneticPr fontId="5" type="noConversion"/>
  </si>
  <si>
    <t>정기검사</t>
    <phoneticPr fontId="5" type="noConversion"/>
  </si>
  <si>
    <t>사고수리</t>
    <phoneticPr fontId="5" type="noConversion"/>
  </si>
  <si>
    <t>고장수리</t>
    <phoneticPr fontId="5" type="noConversion"/>
  </si>
  <si>
    <t xml:space="preserve"> D2D</t>
    <phoneticPr fontId="5" type="noConversion"/>
  </si>
  <si>
    <t>고장수리대차</t>
    <phoneticPr fontId="5" type="noConversion"/>
  </si>
  <si>
    <t>사고수리대차</t>
    <phoneticPr fontId="5" type="noConversion"/>
  </si>
  <si>
    <t>미제공</t>
    <phoneticPr fontId="5" type="noConversion"/>
  </si>
  <si>
    <t>2차 탁송료 ONLY</t>
    <phoneticPr fontId="5" type="noConversion"/>
  </si>
  <si>
    <t xml:space="preserve">※ 인쇄 전 반드시 저장을 눌러 로직이 반영되는지 확인하세요. </t>
    <phoneticPr fontId="5" type="noConversion"/>
  </si>
  <si>
    <t>법인고객 준비서류</t>
    <phoneticPr fontId="5" type="noConversion"/>
  </si>
  <si>
    <t>개인사업자 준비서류</t>
    <phoneticPr fontId="5" type="noConversion"/>
  </si>
  <si>
    <t>개인 준비서류</t>
    <phoneticPr fontId="5" type="noConversion"/>
  </si>
  <si>
    <t>무제한</t>
  </si>
  <si>
    <t>사업자등록증 사본 1부</t>
    <phoneticPr fontId="5" type="noConversion"/>
  </si>
  <si>
    <t>면허증 사본 1부</t>
    <phoneticPr fontId="5" type="noConversion"/>
  </si>
  <si>
    <t>세차비</t>
    <phoneticPr fontId="5" type="noConversion"/>
  </si>
  <si>
    <t>법인등기부등본 1부</t>
    <phoneticPr fontId="5" type="noConversion"/>
  </si>
  <si>
    <t>주민등록등본 1부</t>
    <phoneticPr fontId="5" type="noConversion"/>
  </si>
  <si>
    <t>보조판</t>
    <phoneticPr fontId="5" type="noConversion"/>
  </si>
  <si>
    <t>법인인감증명 1부</t>
    <phoneticPr fontId="5" type="noConversion"/>
  </si>
  <si>
    <t>인감증명 1부</t>
    <phoneticPr fontId="5" type="noConversion"/>
  </si>
  <si>
    <t>법인통장사본 1부</t>
    <phoneticPr fontId="5" type="noConversion"/>
  </si>
  <si>
    <t>자동이체통장사본 1부</t>
    <phoneticPr fontId="5" type="noConversion"/>
  </si>
  <si>
    <t>가솔린 디젤</t>
    <phoneticPr fontId="5" type="noConversion"/>
  </si>
  <si>
    <t>부가가치세과세표준증명 1부</t>
    <phoneticPr fontId="5" type="noConversion"/>
  </si>
  <si>
    <t>재산세과세증명서 1부</t>
    <phoneticPr fontId="5" type="noConversion"/>
  </si>
  <si>
    <t>재직증명서 1부</t>
    <phoneticPr fontId="5" type="noConversion"/>
  </si>
  <si>
    <t>견적1최저잔가율</t>
    <phoneticPr fontId="5" type="noConversion"/>
  </si>
  <si>
    <t>최근 2기분 재무재표 1부</t>
    <phoneticPr fontId="5" type="noConversion"/>
  </si>
  <si>
    <t>사업자등록증 1부</t>
    <phoneticPr fontId="5" type="noConversion"/>
  </si>
  <si>
    <t>특장/개조비용</t>
    <phoneticPr fontId="5" type="noConversion"/>
  </si>
  <si>
    <t>견적2최저잔가율</t>
    <phoneticPr fontId="5" type="noConversion"/>
  </si>
  <si>
    <t>당해년도 발행 주주명부 1부</t>
    <phoneticPr fontId="5" type="noConversion"/>
  </si>
  <si>
    <t>부가가치과세표준증명 1부</t>
    <phoneticPr fontId="5" type="noConversion"/>
  </si>
  <si>
    <t>직장건강보험료자격득실확인서 1부</t>
    <phoneticPr fontId="5" type="noConversion"/>
  </si>
  <si>
    <t>개별소비세</t>
    <phoneticPr fontId="5" type="noConversion"/>
  </si>
  <si>
    <t>보증인 신분증 사본 1부</t>
    <phoneticPr fontId="5" type="noConversion"/>
  </si>
  <si>
    <t>소득금액증명 1부</t>
    <phoneticPr fontId="5" type="noConversion"/>
  </si>
  <si>
    <t>직장건강보험료납부확인서(6개월 分) 1부</t>
    <phoneticPr fontId="5" type="noConversion"/>
  </si>
  <si>
    <t>보증인 주민등록등본 1부</t>
    <phoneticPr fontId="5" type="noConversion"/>
  </si>
  <si>
    <t>보조금 견적1</t>
    <phoneticPr fontId="5" type="noConversion"/>
  </si>
  <si>
    <t>보증인 인감증명 1부</t>
    <phoneticPr fontId="5" type="noConversion"/>
  </si>
  <si>
    <t>선택 내용</t>
    <phoneticPr fontId="5" type="noConversion"/>
  </si>
  <si>
    <t>보조금 견적2</t>
    <phoneticPr fontId="5" type="noConversion"/>
  </si>
  <si>
    <t>보증인 재산세 과세증명 1부</t>
    <phoneticPr fontId="5" type="noConversion"/>
  </si>
  <si>
    <t>※ 모든 서류는 최근 1개월 이내 발행분을 준비해주시기 바랍니다.</t>
    <phoneticPr fontId="5" type="noConversion"/>
  </si>
  <si>
    <t>보조금 견적3</t>
    <phoneticPr fontId="5" type="noConversion"/>
  </si>
  <si>
    <t>취득가(VAT제외) 견적1</t>
    <phoneticPr fontId="5" type="noConversion"/>
  </si>
  <si>
    <t>취득가(VAT제외) 견적2</t>
    <phoneticPr fontId="5" type="noConversion"/>
  </si>
  <si>
    <t>취득가(VAT제외) 견적3</t>
    <phoneticPr fontId="5" type="noConversion"/>
  </si>
  <si>
    <t>개소세 할인금액</t>
    <phoneticPr fontId="5" type="noConversion"/>
  </si>
  <si>
    <t>AT51-AT52</t>
    <phoneticPr fontId="5" type="noConversion"/>
  </si>
  <si>
    <t>개소세 캡적용 최종할인액</t>
    <phoneticPr fontId="5" type="noConversion"/>
  </si>
  <si>
    <t>Hybrid 개소세 최종할인액</t>
    <phoneticPr fontId="5" type="noConversion"/>
  </si>
  <si>
    <t>개소세 최종납부액</t>
    <phoneticPr fontId="5" type="noConversion"/>
  </si>
  <si>
    <t>하이브리드 개소세납부액</t>
    <phoneticPr fontId="5" type="noConversion"/>
  </si>
  <si>
    <t>개소세 계수</t>
    <phoneticPr fontId="5" type="noConversion"/>
  </si>
  <si>
    <t>견적3</t>
    <phoneticPr fontId="5" type="noConversion"/>
  </si>
  <si>
    <t xml:space="preserve"> 내수코드</t>
    <phoneticPr fontId="5" type="noConversion"/>
  </si>
  <si>
    <t>7,8인승 =1</t>
    <phoneticPr fontId="5" type="noConversion"/>
  </si>
  <si>
    <t>인승구분</t>
    <phoneticPr fontId="5" type="noConversion"/>
  </si>
  <si>
    <t>9,10인승 =2</t>
    <phoneticPr fontId="5" type="noConversion"/>
  </si>
  <si>
    <t>법인1, 개인2</t>
    <phoneticPr fontId="11" type="noConversion"/>
  </si>
  <si>
    <t>임직원1 누구나2</t>
    <phoneticPr fontId="11" type="noConversion"/>
  </si>
  <si>
    <t>승용</t>
    <phoneticPr fontId="11" type="noConversion"/>
  </si>
  <si>
    <t>승합</t>
    <phoneticPr fontId="5" type="noConversion"/>
  </si>
  <si>
    <t>다인승 7,8인</t>
    <phoneticPr fontId="5" type="noConversion"/>
  </si>
  <si>
    <t>다인승9,10인</t>
    <phoneticPr fontId="5" type="noConversion"/>
  </si>
  <si>
    <t>다인승 7,8인</t>
    <phoneticPr fontId="59" type="noConversion"/>
  </si>
  <si>
    <t>가입</t>
    <phoneticPr fontId="59" type="noConversion"/>
  </si>
  <si>
    <t>승용</t>
    <phoneticPr fontId="59" type="noConversion"/>
  </si>
  <si>
    <t>승합</t>
    <phoneticPr fontId="59" type="noConversion"/>
  </si>
  <si>
    <t>DB동부화재</t>
    <phoneticPr fontId="5" type="noConversion"/>
  </si>
  <si>
    <t>긴급출동_전기차</t>
    <phoneticPr fontId="11" type="noConversion"/>
  </si>
  <si>
    <t>① 보험금액 기준정보</t>
    <phoneticPr fontId="59" type="noConversion"/>
  </si>
  <si>
    <t>자차_전기차</t>
    <phoneticPr fontId="11" type="noConversion"/>
  </si>
  <si>
    <t>전기차</t>
    <phoneticPr fontId="11" type="noConversion"/>
  </si>
  <si>
    <t>담보구분</t>
    <phoneticPr fontId="59" type="noConversion"/>
  </si>
  <si>
    <t>가입금액</t>
    <phoneticPr fontId="59" type="noConversion"/>
  </si>
  <si>
    <t>공제조합</t>
    <phoneticPr fontId="5" type="noConversion"/>
  </si>
  <si>
    <t>대인1</t>
    <phoneticPr fontId="59" type="noConversion"/>
  </si>
  <si>
    <t>충당율</t>
    <phoneticPr fontId="5" type="noConversion"/>
  </si>
  <si>
    <t>국산(책임보험료)</t>
    <phoneticPr fontId="5" type="noConversion"/>
  </si>
  <si>
    <t>대인2</t>
    <phoneticPr fontId="59" type="noConversion"/>
  </si>
  <si>
    <t>무한</t>
    <phoneticPr fontId="59" type="noConversion"/>
  </si>
  <si>
    <t>수입(자차보험료)</t>
    <phoneticPr fontId="5" type="noConversion"/>
  </si>
  <si>
    <t>마스터</t>
    <phoneticPr fontId="11" type="noConversion"/>
  </si>
  <si>
    <t>1억</t>
    <phoneticPr fontId="59" type="noConversion"/>
  </si>
  <si>
    <t>2억</t>
  </si>
  <si>
    <t>3억</t>
    <phoneticPr fontId="5" type="noConversion"/>
  </si>
  <si>
    <t>자손</t>
    <phoneticPr fontId="11" type="noConversion"/>
  </si>
  <si>
    <t>3천</t>
    <phoneticPr fontId="59" type="noConversion"/>
  </si>
  <si>
    <t>5천</t>
    <phoneticPr fontId="59" type="noConversion"/>
  </si>
  <si>
    <t>무보험</t>
    <phoneticPr fontId="59" type="noConversion"/>
  </si>
  <si>
    <t>2억원</t>
    <phoneticPr fontId="59" type="noConversion"/>
  </si>
  <si>
    <t>긴급출동(외제)</t>
    <phoneticPr fontId="11" type="noConversion"/>
  </si>
  <si>
    <t>가입시</t>
    <phoneticPr fontId="59" type="noConversion"/>
  </si>
  <si>
    <t>자차</t>
    <phoneticPr fontId="11" type="noConversion"/>
  </si>
  <si>
    <t>담보구분</t>
    <phoneticPr fontId="11" type="noConversion"/>
  </si>
  <si>
    <t>가입금액</t>
    <phoneticPr fontId="11" type="noConversion"/>
  </si>
  <si>
    <t>승합</t>
    <phoneticPr fontId="11" type="noConversion"/>
  </si>
  <si>
    <t>무한</t>
    <phoneticPr fontId="11" type="noConversion"/>
  </si>
  <si>
    <t>1억</t>
    <phoneticPr fontId="11" type="noConversion"/>
  </si>
  <si>
    <t>2억</t>
    <phoneticPr fontId="11" type="noConversion"/>
  </si>
  <si>
    <t>긴급출동</t>
    <phoneticPr fontId="11" type="noConversion"/>
  </si>
  <si>
    <t>무보험</t>
    <phoneticPr fontId="11" type="noConversion"/>
  </si>
  <si>
    <t>이영역은 건드리지말것!</t>
    <phoneticPr fontId="5" type="noConversion"/>
  </si>
  <si>
    <t>DISPLAY</t>
    <phoneticPr fontId="5" type="noConversion"/>
  </si>
  <si>
    <t>특판</t>
    <phoneticPr fontId="5" type="noConversion"/>
  </si>
  <si>
    <t>제네시스</t>
    <phoneticPr fontId="5" type="noConversion"/>
  </si>
  <si>
    <t>연료</t>
    <phoneticPr fontId="5" type="noConversion"/>
  </si>
  <si>
    <t>차종</t>
    <phoneticPr fontId="5" type="noConversion"/>
  </si>
  <si>
    <t>보험차종</t>
    <phoneticPr fontId="5" type="noConversion"/>
  </si>
  <si>
    <t>출고지</t>
    <phoneticPr fontId="5" type="noConversion"/>
  </si>
  <si>
    <t>내수구분</t>
    <phoneticPr fontId="5" type="noConversion"/>
  </si>
  <si>
    <t>렌트전략차종</t>
    <phoneticPr fontId="5" type="noConversion"/>
  </si>
  <si>
    <t>할인</t>
    <phoneticPr fontId="5" type="noConversion"/>
  </si>
  <si>
    <t>렌트 irr 인하</t>
    <phoneticPr fontId="5" type="noConversion"/>
  </si>
  <si>
    <t>전기차용 제조사구분</t>
    <phoneticPr fontId="5" type="noConversion"/>
  </si>
  <si>
    <t>▼제조사선택</t>
    <phoneticPr fontId="5" type="noConversion"/>
  </si>
  <si>
    <t>순번</t>
    <phoneticPr fontId="5" type="noConversion"/>
  </si>
  <si>
    <t>자동차모델코드</t>
  </si>
  <si>
    <t>제조회사코드</t>
  </si>
  <si>
    <t>차종코드</t>
  </si>
  <si>
    <t>차량형식코드</t>
  </si>
  <si>
    <t>내수구분코드</t>
  </si>
  <si>
    <t>판매가격금액</t>
  </si>
  <si>
    <t>차량배기량값</t>
  </si>
  <si>
    <t>차량적재량값</t>
  </si>
  <si>
    <t>차량정원수</t>
  </si>
  <si>
    <t>유종구분코드</t>
  </si>
  <si>
    <t>에어백수</t>
  </si>
  <si>
    <t>자동차모델대분류코드</t>
  </si>
  <si>
    <t>자동차모델중분류명</t>
  </si>
  <si>
    <t>중분류코드</t>
  </si>
  <si>
    <t>자동차모델소분류명</t>
  </si>
  <si>
    <t>자동차모델순번명</t>
  </si>
  <si>
    <t>연료적재량값</t>
  </si>
  <si>
    <t>연료소비량값</t>
  </si>
  <si>
    <t>앞타이어사이즈값</t>
  </si>
  <si>
    <t>뒷타이어사이즈값</t>
  </si>
  <si>
    <t>보험차종구분코드</t>
  </si>
  <si>
    <t>검사차종구분코드</t>
  </si>
  <si>
    <t>렌트잔가3만</t>
    <phoneticPr fontId="5" type="noConversion"/>
  </si>
  <si>
    <t>렌트잔가무제한</t>
    <phoneticPr fontId="5" type="noConversion"/>
  </si>
  <si>
    <t>리스잔가3만</t>
    <phoneticPr fontId="5" type="noConversion"/>
  </si>
  <si>
    <t>자동차출고지역코드</t>
  </si>
  <si>
    <t>정비차종구분코드</t>
  </si>
  <si>
    <t>단종여부</t>
  </si>
  <si>
    <t>TRIM_Id</t>
  </si>
  <si>
    <t>공채차종구분</t>
  </si>
  <si>
    <t>소분류코드</t>
  </si>
  <si>
    <t>순번코드</t>
  </si>
  <si>
    <t>적용일자</t>
  </si>
  <si>
    <t>전략차종여부</t>
    <phoneticPr fontId="5" type="noConversion"/>
  </si>
  <si>
    <t>견적그룹</t>
    <phoneticPr fontId="5" type="noConversion"/>
  </si>
  <si>
    <t>렌트할인</t>
    <phoneticPr fontId="5" type="noConversion"/>
  </si>
  <si>
    <t>리스우대차종</t>
    <phoneticPr fontId="5" type="noConversion"/>
  </si>
  <si>
    <t>견적그룹</t>
  </si>
  <si>
    <t>구분코드</t>
    <phoneticPr fontId="5" type="noConversion"/>
  </si>
  <si>
    <t>렌터 잔가 Update 차종</t>
    <phoneticPr fontId="5" type="noConversion"/>
  </si>
  <si>
    <t>A010</t>
  </si>
  <si>
    <t>01:승용</t>
  </si>
  <si>
    <t>D:국산차</t>
  </si>
  <si>
    <t>M:보통휘발유</t>
  </si>
  <si>
    <t>HDM:현대</t>
  </si>
  <si>
    <t>195/65R15</t>
  </si>
  <si>
    <t>20:소형</t>
  </si>
  <si>
    <t>02:울산</t>
  </si>
  <si>
    <t>2:2급</t>
  </si>
  <si>
    <t>D:경유(디젤)</t>
  </si>
  <si>
    <t>A:오토</t>
  </si>
  <si>
    <t>245/45R18</t>
  </si>
  <si>
    <t>40:대형</t>
  </si>
  <si>
    <t>F:F등급</t>
  </si>
  <si>
    <t>03:울산대형</t>
  </si>
  <si>
    <t>4:4급</t>
  </si>
  <si>
    <t>245/40R19</t>
  </si>
  <si>
    <t>205/60R16</t>
  </si>
  <si>
    <t>7:7급</t>
  </si>
  <si>
    <t>N</t>
  </si>
  <si>
    <t>V60</t>
  </si>
  <si>
    <t>225/55R17</t>
  </si>
  <si>
    <t>01:아산</t>
  </si>
  <si>
    <t>T:전기+가솔린겸용</t>
  </si>
  <si>
    <t>I:I등급</t>
  </si>
  <si>
    <t>225/45R18</t>
  </si>
  <si>
    <t>30:중형</t>
  </si>
  <si>
    <t>3:3급</t>
  </si>
  <si>
    <t>205/55R16</t>
  </si>
  <si>
    <t>205/65R16</t>
  </si>
  <si>
    <t>215/55R17</t>
  </si>
  <si>
    <t>디젤 2.0 2WD</t>
  </si>
  <si>
    <t>235/55R19</t>
  </si>
  <si>
    <t>디젤 2.0 4WD</t>
  </si>
  <si>
    <t>235/60R18</t>
  </si>
  <si>
    <t>02:다인승</t>
  </si>
  <si>
    <t>L:LPG</t>
  </si>
  <si>
    <t>8:8급</t>
  </si>
  <si>
    <t>02:승합</t>
  </si>
  <si>
    <t>03:승합</t>
  </si>
  <si>
    <t>225/60R17</t>
  </si>
  <si>
    <t>245/45R19</t>
  </si>
  <si>
    <t>A034</t>
  </si>
  <si>
    <t>쉐보레</t>
  </si>
  <si>
    <t>KGM:한국지엠</t>
  </si>
  <si>
    <t>235/55R18</t>
  </si>
  <si>
    <t>5:5급</t>
  </si>
  <si>
    <t>10:경형</t>
  </si>
  <si>
    <t>1:1급</t>
  </si>
  <si>
    <t>A020</t>
  </si>
  <si>
    <t>KIA:기아</t>
  </si>
  <si>
    <t>235/65R17</t>
  </si>
  <si>
    <t>275/40R19</t>
  </si>
  <si>
    <t>165/60R14</t>
  </si>
  <si>
    <t>A200</t>
  </si>
  <si>
    <t>A040</t>
  </si>
  <si>
    <t>05:RV</t>
  </si>
  <si>
    <t>1.5 가솔린</t>
  </si>
  <si>
    <t>215/65R17</t>
  </si>
  <si>
    <t>245/50R18</t>
  </si>
  <si>
    <t>CNV</t>
  </si>
  <si>
    <t>코란도 신형</t>
  </si>
  <si>
    <t>Y</t>
  </si>
  <si>
    <t>225/65R17</t>
  </si>
  <si>
    <t>225/55R19</t>
  </si>
  <si>
    <t>R:렌터카LPG</t>
  </si>
  <si>
    <t>VNU</t>
  </si>
  <si>
    <t>185/65R15</t>
  </si>
  <si>
    <t>SEL</t>
  </si>
  <si>
    <t>TRV</t>
  </si>
  <si>
    <t>가솔린 3.6</t>
    <phoneticPr fontId="5" type="noConversion"/>
  </si>
  <si>
    <t>255/55R20</t>
  </si>
  <si>
    <t>GNS:제네시스</t>
  </si>
  <si>
    <t>2WD (5인승)</t>
  </si>
  <si>
    <t>265/55R19</t>
  </si>
  <si>
    <t>AWD (5인승)</t>
  </si>
  <si>
    <t>TBZ</t>
  </si>
  <si>
    <t>215/65R16</t>
  </si>
  <si>
    <t>265/50R20</t>
  </si>
  <si>
    <t>쏠라티</t>
  </si>
  <si>
    <t>175/65R14</t>
  </si>
  <si>
    <t>215/60R17</t>
  </si>
  <si>
    <t>04:다인승</t>
  </si>
  <si>
    <t>225/40R19</t>
  </si>
  <si>
    <t>255/35R19</t>
  </si>
  <si>
    <t>GV70</t>
  </si>
  <si>
    <t>V70</t>
  </si>
  <si>
    <t>255/40R21</t>
  </si>
  <si>
    <t>E:전기</t>
  </si>
  <si>
    <t>프리미엄</t>
  </si>
  <si>
    <t>K8A</t>
  </si>
  <si>
    <t>더 뉴 K9</t>
  </si>
  <si>
    <t>스타리아</t>
  </si>
  <si>
    <t>SRA</t>
  </si>
  <si>
    <t>V80</t>
  </si>
  <si>
    <t>캐스퍼</t>
  </si>
  <si>
    <t>GV60</t>
  </si>
  <si>
    <t>스탠다드 2WD</t>
  </si>
  <si>
    <t>스탠다드 AWD</t>
  </si>
  <si>
    <t>퍼포먼스 AWD</t>
  </si>
  <si>
    <t>245/50R19</t>
  </si>
  <si>
    <t>245/45R20</t>
  </si>
  <si>
    <t>275/40R20</t>
  </si>
  <si>
    <t>타호</t>
  </si>
  <si>
    <t>TAH</t>
    <phoneticPr fontId="11" type="noConversion"/>
  </si>
  <si>
    <t>CSP</t>
  </si>
  <si>
    <t>계약자 본인은 위 사항에 대해 확인하였습니다.</t>
    <phoneticPr fontId="5" type="noConversion"/>
  </si>
  <si>
    <t>견적일자</t>
    <phoneticPr fontId="5" type="noConversion"/>
  </si>
  <si>
    <t>이손액</t>
    <phoneticPr fontId="5" type="noConversion"/>
  </si>
  <si>
    <t>모 델 명</t>
    <phoneticPr fontId="5" type="noConversion"/>
  </si>
  <si>
    <t>기준IRR</t>
    <phoneticPr fontId="5" type="noConversion"/>
  </si>
  <si>
    <t>견적선택3</t>
    <phoneticPr fontId="5" type="noConversion"/>
  </si>
  <si>
    <t>고객금리</t>
  </si>
  <si>
    <t>연        료</t>
    <phoneticPr fontId="5" type="noConversion"/>
  </si>
  <si>
    <t>딜러마케팅</t>
  </si>
  <si>
    <t>옵션가</t>
    <phoneticPr fontId="5" type="noConversion"/>
  </si>
  <si>
    <t>인   승</t>
    <phoneticPr fontId="5" type="noConversion"/>
  </si>
  <si>
    <t>지급가능율</t>
  </si>
  <si>
    <t>판매사원</t>
  </si>
  <si>
    <t>렌트이용정보</t>
    <phoneticPr fontId="5" type="noConversion"/>
  </si>
  <si>
    <t>초기부담금</t>
    <phoneticPr fontId="5" type="noConversion"/>
  </si>
  <si>
    <t>CA</t>
  </si>
  <si>
    <t>심사기준금액</t>
  </si>
  <si>
    <t>만기인수가격</t>
    <phoneticPr fontId="5" type="noConversion"/>
  </si>
  <si>
    <t>선납금</t>
    <phoneticPr fontId="5" type="noConversion"/>
  </si>
  <si>
    <t>합   계</t>
    <phoneticPr fontId="5" type="noConversion"/>
  </si>
  <si>
    <t>견적메모</t>
    <phoneticPr fontId="5" type="noConversion"/>
  </si>
  <si>
    <t>보조금</t>
    <phoneticPr fontId="5" type="noConversion"/>
  </si>
  <si>
    <t>월 렌트료</t>
    <phoneticPr fontId="5" type="noConversion"/>
  </si>
  <si>
    <t>[MyCAR 카드 신청]</t>
    <phoneticPr fontId="5" type="noConversion"/>
  </si>
  <si>
    <t xml:space="preserve"> 공급가</t>
    <phoneticPr fontId="5" type="noConversion"/>
  </si>
  <si>
    <t xml:space="preserve">       부가세</t>
    <phoneticPr fontId="5" type="noConversion"/>
  </si>
  <si>
    <t xml:space="preserve">    선납렌트료(-)</t>
    <phoneticPr fontId="5" type="noConversion"/>
  </si>
  <si>
    <t>보험 조건 및 사고접수   【보험 / 사고 접수 ☎ : 1544-7751】</t>
    <phoneticPr fontId="5" type="noConversion"/>
  </si>
  <si>
    <t>임직원특약</t>
    <phoneticPr fontId="5" type="noConversion"/>
  </si>
  <si>
    <t>자배법</t>
    <phoneticPr fontId="5" type="noConversion"/>
  </si>
  <si>
    <t>무한</t>
    <phoneticPr fontId="5" type="noConversion"/>
  </si>
  <si>
    <t>※ 국산 자차보험(전기차 제외)은 신한카드 차량손해면책제도(LDW) 운영</t>
    <phoneticPr fontId="5" type="noConversion"/>
  </si>
  <si>
    <t>* 임직원한정특약가입 : 임직원 및 관계사 임직원</t>
    <phoneticPr fontId="5" type="noConversion"/>
  </si>
  <si>
    <t>* 임직원한정특약미가입 : 본인, 직계가족, 임직원 (개인은 기명운전자 최대 2명 지정가능)</t>
    <phoneticPr fontId="5" type="noConversion"/>
  </si>
  <si>
    <t>정비항목</t>
    <phoneticPr fontId="5" type="noConversion"/>
  </si>
  <si>
    <t>D2D</t>
    <phoneticPr fontId="5" type="noConversion"/>
  </si>
  <si>
    <t xml:space="preserve"> 고장수리대차</t>
    <phoneticPr fontId="5" type="noConversion"/>
  </si>
  <si>
    <t>3개월미만</t>
    <phoneticPr fontId="5" type="noConversion"/>
  </si>
  <si>
    <t>3개월이상
6개월미만</t>
    <phoneticPr fontId="5" type="noConversion"/>
  </si>
  <si>
    <t>9개월이상
6개월미만</t>
    <phoneticPr fontId="5" type="noConversion"/>
  </si>
  <si>
    <t>9개월이상
12개월미만</t>
    <phoneticPr fontId="5" type="noConversion"/>
  </si>
  <si>
    <t>12개월이상
15개월미만</t>
    <phoneticPr fontId="5" type="noConversion"/>
  </si>
  <si>
    <t>15개월이상
18개월미만</t>
    <phoneticPr fontId="5" type="noConversion"/>
  </si>
  <si>
    <t>18개월이상
21개월미만</t>
    <phoneticPr fontId="5" type="noConversion"/>
  </si>
  <si>
    <t>21개월이상
24개월미만</t>
    <phoneticPr fontId="5" type="noConversion"/>
  </si>
  <si>
    <t>전기차운영기간
보조금회수요율</t>
    <phoneticPr fontId="5" type="noConversion"/>
  </si>
  <si>
    <t>직장건강보험료납부확인서(6개월) 1부</t>
    <phoneticPr fontId="5" type="noConversion"/>
  </si>
  <si>
    <t>특판1</t>
    <phoneticPr fontId="5" type="noConversion"/>
  </si>
  <si>
    <t>특판2</t>
    <phoneticPr fontId="5" type="noConversion"/>
  </si>
  <si>
    <t>■ 정비비</t>
    <phoneticPr fontId="5" type="noConversion"/>
  </si>
  <si>
    <t>■ 수입차 정기검사</t>
    <phoneticPr fontId="5" type="noConversion"/>
  </si>
  <si>
    <t>3년</t>
    <phoneticPr fontId="5" type="noConversion"/>
  </si>
  <si>
    <t>4년</t>
    <phoneticPr fontId="5" type="noConversion"/>
  </si>
  <si>
    <t>프리미엄 플러스</t>
    <phoneticPr fontId="5" type="noConversion"/>
  </si>
  <si>
    <t>프리미엄</t>
    <phoneticPr fontId="11" type="noConversion"/>
  </si>
  <si>
    <t>스탠다드 플러스</t>
    <phoneticPr fontId="5" type="noConversion"/>
  </si>
  <si>
    <t>스탠다드</t>
    <phoneticPr fontId="11" type="noConversion"/>
  </si>
  <si>
    <t>베이직</t>
    <phoneticPr fontId="11" type="noConversion"/>
  </si>
  <si>
    <t>셀프</t>
    <phoneticPr fontId="11" type="noConversion"/>
  </si>
  <si>
    <t>1급</t>
    <phoneticPr fontId="5" type="noConversion"/>
  </si>
  <si>
    <t>2급</t>
    <phoneticPr fontId="5" type="noConversion"/>
  </si>
  <si>
    <t>3급</t>
    <phoneticPr fontId="5" type="noConversion"/>
  </si>
  <si>
    <t>4급</t>
    <phoneticPr fontId="5" type="noConversion"/>
  </si>
  <si>
    <t>5급</t>
    <phoneticPr fontId="5" type="noConversion"/>
  </si>
  <si>
    <t>6급</t>
    <phoneticPr fontId="5" type="noConversion"/>
  </si>
  <si>
    <t>7급</t>
    <phoneticPr fontId="5" type="noConversion"/>
  </si>
  <si>
    <t>8급</t>
    <phoneticPr fontId="5" type="noConversion"/>
  </si>
  <si>
    <t>■ 정비서비스</t>
    <phoneticPr fontId="5" type="noConversion"/>
  </si>
  <si>
    <t>소모품교환</t>
    <phoneticPr fontId="5" type="noConversion"/>
  </si>
  <si>
    <t>기본서비스</t>
    <phoneticPr fontId="5" type="noConversion"/>
  </si>
  <si>
    <t>법정정기검사</t>
    <phoneticPr fontId="5" type="noConversion"/>
  </si>
  <si>
    <t>DEIVERY</t>
    <phoneticPr fontId="5" type="noConversion"/>
  </si>
  <si>
    <t>대차</t>
    <phoneticPr fontId="5" type="noConversion"/>
  </si>
  <si>
    <t>1개월 1회 방문</t>
    <phoneticPr fontId="5" type="noConversion"/>
  </si>
  <si>
    <t>전품목</t>
    <phoneticPr fontId="5" type="noConversion"/>
  </si>
  <si>
    <t>Y</t>
    <phoneticPr fontId="5" type="noConversion"/>
  </si>
  <si>
    <t>프리미엄</t>
    <phoneticPr fontId="5" type="noConversion"/>
  </si>
  <si>
    <t>2개월 1회 방문</t>
    <phoneticPr fontId="5" type="noConversion"/>
  </si>
  <si>
    <t>11종</t>
    <phoneticPr fontId="5" type="noConversion"/>
  </si>
  <si>
    <t>스탠다드</t>
    <phoneticPr fontId="5" type="noConversion"/>
  </si>
  <si>
    <t>입고점검</t>
    <phoneticPr fontId="5" type="noConversion"/>
  </si>
  <si>
    <t>베이직</t>
    <phoneticPr fontId="5" type="noConversion"/>
  </si>
  <si>
    <t>일부품목</t>
    <phoneticPr fontId="5" type="noConversion"/>
  </si>
  <si>
    <t>N</t>
    <phoneticPr fontId="5" type="noConversion"/>
  </si>
  <si>
    <t>셀프</t>
    <phoneticPr fontId="5" type="noConversion"/>
  </si>
  <si>
    <t>자가정비</t>
    <phoneticPr fontId="5" type="noConversion"/>
  </si>
  <si>
    <t>e-Basic</t>
    <phoneticPr fontId="5" type="noConversion"/>
  </si>
  <si>
    <t>타이어</t>
    <phoneticPr fontId="5" type="noConversion"/>
  </si>
  <si>
    <t>e-Self</t>
    <phoneticPr fontId="5" type="noConversion"/>
  </si>
  <si>
    <t>정비1</t>
    <phoneticPr fontId="5" type="noConversion"/>
  </si>
  <si>
    <t>정비2</t>
    <phoneticPr fontId="5" type="noConversion"/>
  </si>
  <si>
    <t>정비3</t>
    <phoneticPr fontId="5" type="noConversion"/>
  </si>
  <si>
    <t>할부형정비1</t>
    <phoneticPr fontId="5" type="noConversion"/>
  </si>
  <si>
    <t>할부형정비2</t>
    <phoneticPr fontId="5" type="noConversion"/>
  </si>
  <si>
    <t>할부형정비3</t>
    <phoneticPr fontId="5" type="noConversion"/>
  </si>
  <si>
    <t>열번호</t>
    <phoneticPr fontId="5" type="noConversion"/>
  </si>
  <si>
    <t>프리미엄 플러스</t>
  </si>
  <si>
    <t>스탠다드 플러스</t>
  </si>
  <si>
    <t>스탠다드</t>
  </si>
  <si>
    <t>베이직</t>
  </si>
  <si>
    <t>셀프</t>
  </si>
  <si>
    <t>12프리미엄 플러스</t>
  </si>
  <si>
    <t>구분</t>
    <phoneticPr fontId="78" type="noConversion"/>
  </si>
  <si>
    <t>차량구분</t>
    <phoneticPr fontId="78" type="noConversion"/>
  </si>
  <si>
    <t>대표차종</t>
    <phoneticPr fontId="78" type="noConversion"/>
  </si>
  <si>
    <t>12프리미엄</t>
  </si>
  <si>
    <t>12스탠다드 플러스</t>
  </si>
  <si>
    <t>1급</t>
    <phoneticPr fontId="78" type="noConversion"/>
  </si>
  <si>
    <t>1.0L이하</t>
    <phoneticPr fontId="78" type="noConversion"/>
  </si>
  <si>
    <t>모닝</t>
    <phoneticPr fontId="78" type="noConversion"/>
  </si>
  <si>
    <t>12스탠다드</t>
  </si>
  <si>
    <t>2급</t>
    <phoneticPr fontId="78" type="noConversion"/>
  </si>
  <si>
    <t>1.3L~1.6L</t>
    <phoneticPr fontId="78" type="noConversion"/>
  </si>
  <si>
    <t>아반떼</t>
    <phoneticPr fontId="78" type="noConversion"/>
  </si>
  <si>
    <t>대표차종</t>
  </si>
  <si>
    <t>24M</t>
  </si>
  <si>
    <t>36M</t>
  </si>
  <si>
    <t>48M</t>
  </si>
  <si>
    <t>60M</t>
  </si>
  <si>
    <t>12베이직</t>
  </si>
  <si>
    <t>3급</t>
    <phoneticPr fontId="78" type="noConversion"/>
  </si>
  <si>
    <t>1.8L~2.2L</t>
    <phoneticPr fontId="78" type="noConversion"/>
  </si>
  <si>
    <t>YF소나타</t>
    <phoneticPr fontId="78" type="noConversion"/>
  </si>
  <si>
    <t>1급</t>
  </si>
  <si>
    <t>12셀프</t>
  </si>
  <si>
    <t>4급</t>
    <phoneticPr fontId="78" type="noConversion"/>
  </si>
  <si>
    <t>2.3L~3.3L</t>
    <phoneticPr fontId="78" type="noConversion"/>
  </si>
  <si>
    <t>그랜져HG</t>
    <phoneticPr fontId="78" type="noConversion"/>
  </si>
  <si>
    <t>2급</t>
  </si>
  <si>
    <t>SM3 ZE / ZOE</t>
  </si>
  <si>
    <t>18프리미엄 플러스</t>
  </si>
  <si>
    <t>5급</t>
    <phoneticPr fontId="78" type="noConversion"/>
  </si>
  <si>
    <t>3.5L~4.0L</t>
    <phoneticPr fontId="78" type="noConversion"/>
  </si>
  <si>
    <t>에쿠스</t>
    <phoneticPr fontId="78" type="noConversion"/>
  </si>
  <si>
    <t>3급</t>
  </si>
  <si>
    <t xml:space="preserve"> - </t>
  </si>
  <si>
    <t>18프리미엄</t>
  </si>
  <si>
    <t>6급</t>
    <phoneticPr fontId="78" type="noConversion"/>
  </si>
  <si>
    <t>4.0이상</t>
    <phoneticPr fontId="78" type="noConversion"/>
  </si>
  <si>
    <t>체어맨</t>
    <phoneticPr fontId="78" type="noConversion"/>
  </si>
  <si>
    <t>4급</t>
  </si>
  <si>
    <t>18스탠다드 플러스</t>
  </si>
  <si>
    <t>7급</t>
    <phoneticPr fontId="78" type="noConversion"/>
  </si>
  <si>
    <t>RV차량</t>
    <phoneticPr fontId="78" type="noConversion"/>
  </si>
  <si>
    <t>쏘렌토</t>
    <phoneticPr fontId="78" type="noConversion"/>
  </si>
  <si>
    <t>5급</t>
  </si>
  <si>
    <t>18스탠다드</t>
  </si>
  <si>
    <t>8급</t>
    <phoneticPr fontId="78" type="noConversion"/>
  </si>
  <si>
    <t>승합,1톤</t>
    <phoneticPr fontId="78" type="noConversion"/>
  </si>
  <si>
    <t>봉고3,포터2</t>
    <phoneticPr fontId="78" type="noConversion"/>
  </si>
  <si>
    <t>6급</t>
  </si>
  <si>
    <t>18베이직</t>
  </si>
  <si>
    <t>7급</t>
  </si>
  <si>
    <t>아이오닉/코나/니로/쏘울</t>
  </si>
  <si>
    <t>18셀프</t>
  </si>
  <si>
    <t>8급</t>
  </si>
  <si>
    <t>24프리미엄 플러스</t>
  </si>
  <si>
    <t>24프리미엄</t>
  </si>
  <si>
    <t>24스탠다드 플러스</t>
  </si>
  <si>
    <t>24스탠다드</t>
  </si>
  <si>
    <t>24베이직</t>
  </si>
  <si>
    <t>24셀프</t>
  </si>
  <si>
    <t>-　</t>
  </si>
  <si>
    <t>30프리미엄 플러스</t>
  </si>
  <si>
    <t>30프리미엄</t>
  </si>
  <si>
    <t>30스탠다드 플러스</t>
  </si>
  <si>
    <t>30스탠다드</t>
  </si>
  <si>
    <t>30베이직</t>
  </si>
  <si>
    <t>30셀프</t>
  </si>
  <si>
    <t>36프리미엄 플러스</t>
  </si>
  <si>
    <t>36프리미엄</t>
  </si>
  <si>
    <t>36스탠다드 플러스</t>
  </si>
  <si>
    <t>36스탠다드</t>
  </si>
  <si>
    <t>36베이직</t>
  </si>
  <si>
    <t>36셀프</t>
  </si>
  <si>
    <t>42프리미엄 플러스</t>
  </si>
  <si>
    <t>42프리미엄</t>
  </si>
  <si>
    <t>42스탠다드 플러스</t>
  </si>
  <si>
    <t>42스탠다드</t>
  </si>
  <si>
    <t>42베이직</t>
  </si>
  <si>
    <t>42셀프</t>
  </si>
  <si>
    <t>48프리미엄 플러스</t>
  </si>
  <si>
    <t>48프리미엄</t>
  </si>
  <si>
    <t>48스탠다드 플러스</t>
  </si>
  <si>
    <t>48스탠다드</t>
  </si>
  <si>
    <t>48베이직</t>
  </si>
  <si>
    <t>48셀프</t>
  </si>
  <si>
    <t>54프리미엄 플러스</t>
  </si>
  <si>
    <t>54프리미엄</t>
  </si>
  <si>
    <t>54스탠다드 플러스</t>
  </si>
  <si>
    <t>54스탠다드</t>
  </si>
  <si>
    <t>54베이직</t>
  </si>
  <si>
    <t>54셀프</t>
  </si>
  <si>
    <t>60프리미엄 플러스</t>
  </si>
  <si>
    <t>60프리미엄</t>
  </si>
  <si>
    <t>60스탠다드 플러스</t>
  </si>
  <si>
    <t>60스탠다드</t>
  </si>
  <si>
    <t>60베이직</t>
  </si>
  <si>
    <t>60셀프</t>
  </si>
  <si>
    <t>24e-Self</t>
  </si>
  <si>
    <t>24e-Basic</t>
  </si>
  <si>
    <t>36e-Self</t>
  </si>
  <si>
    <t>36e-Basic</t>
  </si>
  <si>
    <t>42e-Self</t>
    <phoneticPr fontId="5" type="noConversion"/>
  </si>
  <si>
    <t>42e-Basic</t>
    <phoneticPr fontId="5" type="noConversion"/>
  </si>
  <si>
    <t>48e-Self</t>
  </si>
  <si>
    <t>48e-Basic</t>
  </si>
  <si>
    <t>54e-Self</t>
    <phoneticPr fontId="5" type="noConversion"/>
  </si>
  <si>
    <t>54e-Basic</t>
    <phoneticPr fontId="5" type="noConversion"/>
  </si>
  <si>
    <t>60e-Self</t>
  </si>
  <si>
    <t>60e-Basic</t>
  </si>
  <si>
    <t>선택모델</t>
    <phoneticPr fontId="5" type="noConversion"/>
  </si>
  <si>
    <t>개월수</t>
    <phoneticPr fontId="5" type="noConversion"/>
  </si>
  <si>
    <t>1만</t>
    <phoneticPr fontId="5" type="noConversion"/>
  </si>
  <si>
    <t>2만</t>
    <phoneticPr fontId="5" type="noConversion"/>
  </si>
  <si>
    <t>3만</t>
    <phoneticPr fontId="5" type="noConversion"/>
  </si>
  <si>
    <t>4만</t>
    <phoneticPr fontId="5" type="noConversion"/>
  </si>
  <si>
    <t>일반잔가</t>
    <phoneticPr fontId="5" type="noConversion"/>
  </si>
  <si>
    <t>고잔가</t>
    <phoneticPr fontId="5" type="noConversion"/>
  </si>
  <si>
    <t>고잔가 순번</t>
    <phoneticPr fontId="5" type="noConversion"/>
  </si>
  <si>
    <t>고잔가1만(+4%)</t>
    <phoneticPr fontId="5" type="noConversion"/>
  </si>
  <si>
    <t>고잔가2만(+2%)</t>
    <phoneticPr fontId="5" type="noConversion"/>
  </si>
  <si>
    <t>고잔가3만(기준)</t>
    <phoneticPr fontId="5" type="noConversion"/>
  </si>
  <si>
    <t>고잔가4만(기준)</t>
    <phoneticPr fontId="5" type="noConversion"/>
  </si>
  <si>
    <t>고잔가무제한(기준)</t>
    <phoneticPr fontId="5" type="noConversion"/>
  </si>
  <si>
    <t>미운영</t>
    <phoneticPr fontId="5" type="noConversion"/>
  </si>
  <si>
    <t>운행거리</t>
  </si>
  <si>
    <t>■ 렌터카 용품비용</t>
    <phoneticPr fontId="5" type="noConversion"/>
  </si>
  <si>
    <t>유림로지텍</t>
    <phoneticPr fontId="14" type="noConversion"/>
  </si>
  <si>
    <t>유림로지텍</t>
    <phoneticPr fontId="5" type="noConversion"/>
  </si>
  <si>
    <t>오토클릭</t>
    <phoneticPr fontId="5" type="noConversion"/>
  </si>
  <si>
    <t>측후면썬팅</t>
    <phoneticPr fontId="5" type="noConversion"/>
  </si>
  <si>
    <t>■ 유종코드</t>
    <phoneticPr fontId="5" type="noConversion"/>
  </si>
  <si>
    <t>코드</t>
    <phoneticPr fontId="14" type="noConversion"/>
  </si>
  <si>
    <t>유종명</t>
    <phoneticPr fontId="5" type="noConversion"/>
  </si>
  <si>
    <t>M</t>
    <phoneticPr fontId="5" type="noConversion"/>
  </si>
  <si>
    <t>보통휘발유</t>
    <phoneticPr fontId="5" type="noConversion"/>
  </si>
  <si>
    <t>L</t>
    <phoneticPr fontId="5" type="noConversion"/>
  </si>
  <si>
    <t>LPG</t>
    <phoneticPr fontId="5" type="noConversion"/>
  </si>
  <si>
    <t>D</t>
    <phoneticPr fontId="5" type="noConversion"/>
  </si>
  <si>
    <t>경유</t>
    <phoneticPr fontId="5" type="noConversion"/>
  </si>
  <si>
    <t>천연LPG</t>
    <phoneticPr fontId="5" type="noConversion"/>
  </si>
  <si>
    <t>P</t>
    <phoneticPr fontId="5" type="noConversion"/>
  </si>
  <si>
    <t>고급유</t>
    <phoneticPr fontId="5" type="noConversion"/>
  </si>
  <si>
    <t>E</t>
    <phoneticPr fontId="5" type="noConversion"/>
  </si>
  <si>
    <t>전기</t>
    <phoneticPr fontId="5" type="noConversion"/>
  </si>
  <si>
    <t>H</t>
    <phoneticPr fontId="5" type="noConversion"/>
  </si>
  <si>
    <t>수소</t>
    <phoneticPr fontId="5" type="noConversion"/>
  </si>
  <si>
    <t>S</t>
    <phoneticPr fontId="5" type="noConversion"/>
  </si>
  <si>
    <t>기타</t>
    <phoneticPr fontId="5" type="noConversion"/>
  </si>
  <si>
    <t>G</t>
    <phoneticPr fontId="5" type="noConversion"/>
  </si>
  <si>
    <t>LPG+가솔린</t>
    <phoneticPr fontId="5" type="noConversion"/>
  </si>
  <si>
    <t>T</t>
    <phoneticPr fontId="5" type="noConversion"/>
  </si>
  <si>
    <t>하이브리드</t>
    <phoneticPr fontId="5" type="noConversion"/>
  </si>
  <si>
    <t>R</t>
    <phoneticPr fontId="11" type="noConversion"/>
  </si>
  <si>
    <t>LPG</t>
    <phoneticPr fontId="11" type="noConversion"/>
  </si>
  <si>
    <t>하이브리드혜택</t>
    <phoneticPr fontId="5" type="noConversion"/>
  </si>
  <si>
    <t>전기차 혜택</t>
    <phoneticPr fontId="5" type="noConversion"/>
  </si>
  <si>
    <t>■ 렌트출고조건</t>
    <phoneticPr fontId="5" type="noConversion"/>
  </si>
  <si>
    <t>입력잔가율</t>
    <phoneticPr fontId="5" type="noConversion"/>
  </si>
  <si>
    <t>전기차사용본거지</t>
    <phoneticPr fontId="5" type="noConversion"/>
  </si>
  <si>
    <t>본사/대리점출고</t>
    <phoneticPr fontId="5" type="noConversion"/>
  </si>
  <si>
    <t>전기차보조금</t>
    <phoneticPr fontId="5" type="noConversion"/>
  </si>
  <si>
    <t>개별소비세 5.0%</t>
    <phoneticPr fontId="5" type="noConversion"/>
  </si>
  <si>
    <t>개인/개인사업자</t>
    <phoneticPr fontId="5" type="noConversion"/>
  </si>
  <si>
    <t>임직원특약 '예'</t>
    <phoneticPr fontId="5" type="noConversion"/>
  </si>
  <si>
    <t>임직원특약 '아니오'</t>
    <phoneticPr fontId="5" type="noConversion"/>
  </si>
  <si>
    <t>■ 모델</t>
    <phoneticPr fontId="5" type="noConversion"/>
  </si>
  <si>
    <t>■ 렌트료</t>
    <phoneticPr fontId="5" type="noConversion"/>
  </si>
  <si>
    <t>■ 번호판/증지세</t>
    <phoneticPr fontId="5" type="noConversion"/>
  </si>
  <si>
    <t>■ MyCar연결</t>
    <phoneticPr fontId="5" type="noConversion"/>
  </si>
  <si>
    <t>운전자
범   위</t>
    <phoneticPr fontId="5" type="noConversion"/>
  </si>
  <si>
    <t>연   료</t>
    <phoneticPr fontId="5" type="noConversion"/>
  </si>
  <si>
    <t>총 차량가</t>
    <phoneticPr fontId="5" type="noConversion"/>
  </si>
  <si>
    <t>판매사원[CM]</t>
    <phoneticPr fontId="5" type="noConversion"/>
  </si>
  <si>
    <t>CA[AG]</t>
    <phoneticPr fontId="5" type="noConversion"/>
  </si>
  <si>
    <t>기간/거리</t>
    <phoneticPr fontId="5" type="noConversion"/>
  </si>
  <si>
    <t>MyCar 카드 연결 조건시 첫 달부터 본인명의 신한카드 MyCar카드납 연결조건이며, 대출실행 전 카드발급 하셔야합니다. (소급불가)</t>
    <phoneticPr fontId="5" type="noConversion"/>
  </si>
  <si>
    <t>*임직원한정특약미가입 : 본인/직계가족/임직원 (개인은 기명운전자 최대2명 지정가능)</t>
    <phoneticPr fontId="5" type="noConversion"/>
  </si>
  <si>
    <t>■ 견적 메모란</t>
    <phoneticPr fontId="5" type="noConversion"/>
  </si>
  <si>
    <t>＊D2D: 차량 딜리버리 서비스</t>
    <phoneticPr fontId="5" type="noConversion"/>
  </si>
  <si>
    <t>*상기 견적은 렌트료 원가 관련 가격 변동 및 정부 조세정책에 따라 변경될 수 있으며, 차량 배정후 렌트계약 체결 시 확정됩니다.</t>
    <phoneticPr fontId="5" type="noConversion"/>
  </si>
  <si>
    <t>또한 차량출고 후 제조사 결함으로 인한 교환 및 취소 外 차량 인수거부는 일체 불가하며 인수거부시 중도해지수수료가 발생됩니다.</t>
    <phoneticPr fontId="5" type="noConversion"/>
  </si>
  <si>
    <t>모델명수정</t>
    <phoneticPr fontId="5" type="noConversion"/>
  </si>
  <si>
    <t>옵션명칭</t>
    <phoneticPr fontId="5" type="noConversion"/>
  </si>
  <si>
    <t>마이카 연결</t>
    <phoneticPr fontId="5" type="noConversion"/>
  </si>
  <si>
    <t>르노코리아</t>
  </si>
  <si>
    <t>RSM:르노코리아</t>
  </si>
  <si>
    <t xml:space="preserve">K5 가솔린 터보 1.6 </t>
  </si>
  <si>
    <t xml:space="preserve">K5 가솔린 2.0 </t>
  </si>
  <si>
    <t xml:space="preserve">K5 가솔린 2.0 하이브리드 </t>
  </si>
  <si>
    <t xml:space="preserve">K5 LPG 2.0 (렌터카) </t>
  </si>
  <si>
    <t>보험</t>
    <phoneticPr fontId="5" type="noConversion"/>
  </si>
  <si>
    <t>대물조건【1억원】</t>
    <phoneticPr fontId="5" type="noConversion"/>
  </si>
  <si>
    <t>대물조건【2억원】</t>
    <phoneticPr fontId="5" type="noConversion"/>
  </si>
  <si>
    <t>대물조건【3억원】</t>
    <phoneticPr fontId="5" type="noConversion"/>
  </si>
  <si>
    <t>자기신체【3천만원】</t>
    <phoneticPr fontId="5" type="noConversion"/>
  </si>
  <si>
    <t>자기신체【5천만원】</t>
    <phoneticPr fontId="5" type="noConversion"/>
  </si>
  <si>
    <t>자기신체【1억원】</t>
    <phoneticPr fontId="5" type="noConversion"/>
  </si>
  <si>
    <t>연령【21세이상】</t>
    <phoneticPr fontId="5" type="noConversion"/>
  </si>
  <si>
    <t>연령【26세이상】</t>
    <phoneticPr fontId="5" type="noConversion"/>
  </si>
  <si>
    <t>1만km</t>
    <phoneticPr fontId="5" type="noConversion"/>
  </si>
  <si>
    <t>2만km</t>
    <phoneticPr fontId="5" type="noConversion"/>
  </si>
  <si>
    <t>3만km</t>
    <phoneticPr fontId="5" type="noConversion"/>
  </si>
  <si>
    <t>4만km</t>
    <phoneticPr fontId="5" type="noConversion"/>
  </si>
  <si>
    <t>전기</t>
    <phoneticPr fontId="5" type="noConversion"/>
  </si>
  <si>
    <t xml:space="preserve"> MyCAR_카드연결</t>
  </si>
  <si>
    <t>보  험
조  건</t>
    <phoneticPr fontId="5" type="noConversion"/>
  </si>
  <si>
    <t>보증금율</t>
    <phoneticPr fontId="11" type="noConversion"/>
  </si>
  <si>
    <t>차
량
가
격</t>
    <phoneticPr fontId="11" type="noConversion"/>
  </si>
  <si>
    <t>15천만원 이상</t>
    <phoneticPr fontId="11" type="noConversion"/>
  </si>
  <si>
    <t>기존 유지
(100%
인정)</t>
    <phoneticPr fontId="11" type="noConversion"/>
  </si>
  <si>
    <t>10천만원 이상</t>
    <phoneticPr fontId="11" type="noConversion"/>
  </si>
  <si>
    <t>5천만원 이상</t>
    <phoneticPr fontId="11" type="noConversion"/>
  </si>
  <si>
    <t>5천만원 미만</t>
    <phoneticPr fontId="11" type="noConversion"/>
  </si>
  <si>
    <t>차량가</t>
    <phoneticPr fontId="5" type="noConversion"/>
  </si>
  <si>
    <t>보증금인정(PMT)</t>
    <phoneticPr fontId="5" type="noConversion"/>
  </si>
  <si>
    <t>연    령</t>
    <phoneticPr fontId="5" type="noConversion"/>
  </si>
  <si>
    <t>아산-외주탁송1,2차 합계</t>
    <phoneticPr fontId="5" type="noConversion"/>
  </si>
  <si>
    <t>본사출고(아산탁송 대상)본사출고 탁송업체 - 유림로지텍입니다.</t>
    <phoneticPr fontId="5" type="noConversion"/>
  </si>
  <si>
    <t xml:space="preserve"> 【'22년출고限】 캐스퍼 가솔린 1.0 (추가할인) </t>
  </si>
  <si>
    <t>가솔린 터보 3.5</t>
  </si>
  <si>
    <t>가솔린 터보 2.5</t>
  </si>
  <si>
    <t>가솔린 터보 1.6 하이브리드 2WD</t>
  </si>
  <si>
    <t>가솔린 터보 1.6 하이브리드 4WD</t>
  </si>
  <si>
    <t xml:space="preserve">스포티지 가솔린 터보 1.6 2WD </t>
  </si>
  <si>
    <t xml:space="preserve">스포티지 가솔린 터보 1.6 4WD </t>
  </si>
  <si>
    <t xml:space="preserve">스포티지 디젤 2.0 2WD </t>
  </si>
  <si>
    <t xml:space="preserve">스포티지 디젤 2.0 4WD </t>
  </si>
  <si>
    <t xml:space="preserve">스포티지 LPG 2.0 2WD </t>
  </si>
  <si>
    <t xml:space="preserve">스포티지 가솔린 터보 1.6 하이브리드 2WD </t>
  </si>
  <si>
    <t xml:space="preserve">스포티지 가솔린 터보 1.6 하이브리드 4WD </t>
  </si>
  <si>
    <t>가솔린 터보 1.6 2WD</t>
  </si>
  <si>
    <t>가솔린 터보 1.6 4WD</t>
  </si>
  <si>
    <t>LPG 2.0 2WD</t>
  </si>
  <si>
    <t xml:space="preserve">K8 LPG 3.5 (렌터카) </t>
  </si>
  <si>
    <t xml:space="preserve">K8 가솔린 2.5 </t>
  </si>
  <si>
    <t xml:space="preserve">K8 가솔린 3.5 </t>
  </si>
  <si>
    <t>GV60 전기 스탠다드 2WD</t>
  </si>
  <si>
    <t>GV60 전기 스탠다드 AWD</t>
  </si>
  <si>
    <t>GV60 전기 퍼포먼스 AWD</t>
  </si>
  <si>
    <t>전기</t>
    <phoneticPr fontId="11" type="noConversion"/>
  </si>
  <si>
    <t>전기</t>
    <phoneticPr fontId="5" type="noConversion"/>
  </si>
  <si>
    <t>총 차량가(옵션포함)</t>
    <phoneticPr fontId="5" type="noConversion"/>
  </si>
  <si>
    <t>※ 본 견적은 현 시점의 안내 가격으로 차량 출고시점의 약정금리 및 조세 정책 등에 따라 변경될 수 있음을 알려드립니다.</t>
    <phoneticPr fontId="5" type="noConversion"/>
  </si>
  <si>
    <t>선택불가(12월 가격 상향 박스로 돌아가주세요)</t>
    <phoneticPr fontId="5" type="noConversion"/>
  </si>
  <si>
    <t>인센 총량제 및 필수보증금 조건 삭제</t>
    <phoneticPr fontId="5" type="noConversion"/>
  </si>
  <si>
    <t>1+2차</t>
    <phoneticPr fontId="5" type="noConversion"/>
  </si>
  <si>
    <t>2차</t>
    <phoneticPr fontId="5" type="noConversion"/>
  </si>
  <si>
    <t>약정 자동화 입력 RPA 미적용</t>
    <phoneticPr fontId="5" type="noConversion"/>
  </si>
  <si>
    <t>약정 자동화 입력 RPA 적용 【견적1】</t>
    <phoneticPr fontId="5" type="noConversion"/>
  </si>
  <si>
    <t>약정 자동화 입력 RPA 적용 【견적2】</t>
    <phoneticPr fontId="5" type="noConversion"/>
  </si>
  <si>
    <t>약정 자동화 입력 RPA 적용 【견적3】</t>
    <phoneticPr fontId="5" type="noConversion"/>
  </si>
  <si>
    <t>RPA식별번호</t>
    <phoneticPr fontId="5" type="noConversion"/>
  </si>
  <si>
    <t>구매요청번호</t>
    <phoneticPr fontId="5" type="noConversion"/>
  </si>
  <si>
    <t>인센 총량제 및 필수보증금 조건 삭제</t>
  </si>
  <si>
    <t>40%이하</t>
    <phoneticPr fontId="11" type="noConversion"/>
  </si>
  <si>
    <t>40%초과</t>
    <phoneticPr fontId="11" type="noConversion"/>
  </si>
  <si>
    <t>본사특판할인</t>
    <phoneticPr fontId="5" type="noConversion"/>
  </si>
  <si>
    <t>전략P</t>
    <phoneticPr fontId="5" type="noConversion"/>
  </si>
  <si>
    <t>(담당자명)</t>
    <phoneticPr fontId="5" type="noConversion"/>
  </si>
  <si>
    <t>(고객명)</t>
    <phoneticPr fontId="5" type="noConversion"/>
  </si>
  <si>
    <t>본사 탁송업체</t>
    <phoneticPr fontId="5" type="noConversion"/>
  </si>
  <si>
    <t>235/50R19</t>
  </si>
  <si>
    <t>이쿼녹스</t>
    <phoneticPr fontId="5" type="noConversion"/>
  </si>
  <si>
    <t>가솔린 1.5</t>
    <phoneticPr fontId="5" type="noConversion"/>
  </si>
  <si>
    <t>d</t>
    <phoneticPr fontId="5" type="noConversion"/>
  </si>
  <si>
    <t>0</t>
    <phoneticPr fontId="5" type="noConversion"/>
  </si>
  <si>
    <t>잔가군</t>
    <phoneticPr fontId="5" type="noConversion"/>
  </si>
  <si>
    <t>원</t>
    <phoneticPr fontId="5" type="noConversion"/>
  </si>
  <si>
    <t>전기차고잔가[8811001]+고잔가대출코드</t>
    <phoneticPr fontId="5" type="noConversion"/>
  </si>
  <si>
    <t>일반고잔가[8811001]+고잔가대출코드</t>
    <phoneticPr fontId="5" type="noConversion"/>
  </si>
  <si>
    <t>아반떼</t>
    <phoneticPr fontId="5" type="noConversion"/>
  </si>
  <si>
    <t>2WD (4인승)</t>
  </si>
  <si>
    <t>AWD (4인승)</t>
  </si>
  <si>
    <t xml:space="preserve">쏘나타 가솔린 2.0 </t>
  </si>
  <si>
    <t>LSN</t>
    <phoneticPr fontId="5" type="noConversion"/>
  </si>
  <si>
    <t>쏘나타</t>
    <phoneticPr fontId="5" type="noConversion"/>
  </si>
  <si>
    <t>KG모빌리티</t>
    <phoneticPr fontId="5" type="noConversion"/>
  </si>
  <si>
    <t>—————————◆아반떼◆———————————————</t>
  </si>
  <si>
    <t>————————————◆G70◆—————————————</t>
  </si>
  <si>
    <t>————————————◆모닝&amp;레이◆—————————————</t>
  </si>
  <si>
    <t>——————————◆트랙스◆—————————————</t>
  </si>
  <si>
    <t>———————————◆SM6◆————————————————</t>
  </si>
  <si>
    <t xml:space="preserve">G80 전기 </t>
  </si>
  <si>
    <t>——————————————◆G80◆—————————————</t>
  </si>
  <si>
    <t xml:space="preserve">GV70 전기 </t>
  </si>
  <si>
    <t>——————————————◆G90◆—————————————</t>
  </si>
  <si>
    <t>—————————◆쏘나타 디 엣지◆———————————————</t>
  </si>
  <si>
    <t>—————————◆트레일블레이저◆——————————————————</t>
  </si>
  <si>
    <t>—————————◆그랜저 신형◆———————————————</t>
  </si>
  <si>
    <t>——————————————◆GV80◆—————————————</t>
  </si>
  <si>
    <t>——————————◆투싼◆———————————————</t>
  </si>
  <si>
    <t>——————————————◆GV70◆—————————————</t>
  </si>
  <si>
    <t>—————————◆팰리세이드◆————————————————</t>
  </si>
  <si>
    <t>——————————◆스타리아◆————————————————</t>
  </si>
  <si>
    <t>————————————◆스포티지◆————————————————</t>
  </si>
  <si>
    <t>——————————◆베뉴◆——————————————</t>
  </si>
  <si>
    <t>——————————◆코나◆——————————————</t>
  </si>
  <si>
    <t>——————————◆캐스퍼◆—————————————</t>
  </si>
  <si>
    <t>미제공</t>
  </si>
  <si>
    <t>205/45R17</t>
  </si>
  <si>
    <t>취득원가</t>
    <phoneticPr fontId="5" type="noConversion"/>
  </si>
  <si>
    <t>심사 기준가</t>
    <phoneticPr fontId="5" type="noConversion"/>
  </si>
  <si>
    <t>전기차 수수료지급 기준은 취득원가 기준(내연기관은 총 차량가)</t>
    <phoneticPr fontId="5" type="noConversion"/>
  </si>
  <si>
    <t>대리점탁송업체</t>
    <phoneticPr fontId="5" type="noConversion"/>
  </si>
  <si>
    <t>2WD</t>
    <phoneticPr fontId="5" type="noConversion"/>
  </si>
  <si>
    <t>AWD</t>
    <phoneticPr fontId="5" type="noConversion"/>
  </si>
  <si>
    <t>9인승 2WD</t>
    <phoneticPr fontId="5" type="noConversion"/>
  </si>
  <si>
    <t>11인승 2WD</t>
    <phoneticPr fontId="5" type="noConversion"/>
  </si>
  <si>
    <t>9인승</t>
    <phoneticPr fontId="5" type="noConversion"/>
  </si>
  <si>
    <t>11인승</t>
    <phoneticPr fontId="5" type="noConversion"/>
  </si>
  <si>
    <t>11인승 4WD</t>
    <phoneticPr fontId="5" type="noConversion"/>
  </si>
  <si>
    <t>9인승 4WD</t>
    <phoneticPr fontId="5" type="noConversion"/>
  </si>
  <si>
    <t>7인승 2WD</t>
    <phoneticPr fontId="5" type="noConversion"/>
  </si>
  <si>
    <t>7인승 4WD</t>
    <phoneticPr fontId="5" type="noConversion"/>
  </si>
  <si>
    <t>7인승</t>
    <phoneticPr fontId="5" type="noConversion"/>
  </si>
  <si>
    <t>SSY:KG모빌리티</t>
  </si>
  <si>
    <t>EV9</t>
  </si>
  <si>
    <t>에어 (6인승)</t>
  </si>
  <si>
    <t>255/60R19</t>
  </si>
  <si>
    <t>어스 (6인승)</t>
  </si>
  <si>
    <t>에어 (7인승)</t>
  </si>
  <si>
    <t>어스 (7인승)</t>
  </si>
  <si>
    <t>GT-Line (7인승)</t>
  </si>
  <si>
    <t>285/45R21</t>
  </si>
  <si>
    <t>에어 (6인승-스위블)</t>
  </si>
  <si>
    <t>에어 (6인승-릴렉션)</t>
  </si>
  <si>
    <t>어스 (6인승-스위블)</t>
  </si>
  <si>
    <t>어스 (6인승-릴렉션)</t>
  </si>
  <si>
    <t>GT-Line (6인승-스위블)</t>
  </si>
  <si>
    <t>GT-Line (6인승-릴렉션)</t>
  </si>
  <si>
    <t>—————————◆아반떼◆———————————————</t>
    <phoneticPr fontId="5" type="noConversion"/>
  </si>
  <si>
    <t>아이오닉6</t>
    <phoneticPr fontId="5" type="noConversion"/>
  </si>
  <si>
    <t>가솔린 3.8</t>
    <phoneticPr fontId="11" type="noConversion"/>
  </si>
  <si>
    <t>가솔린 3.3 터보</t>
    <phoneticPr fontId="11" type="noConversion"/>
  </si>
  <si>
    <t>7인승</t>
  </si>
  <si>
    <t>5인승</t>
  </si>
  <si>
    <t>6인승</t>
  </si>
  <si>
    <t>가솔린 1.6</t>
  </si>
  <si>
    <t>가솔린 1.6</t>
    <phoneticPr fontId="5" type="noConversion"/>
  </si>
  <si>
    <t>가솔린 1.6 하이브리드</t>
    <phoneticPr fontId="5" type="noConversion"/>
  </si>
  <si>
    <t>LPG 1.6 (일반)</t>
    <phoneticPr fontId="5" type="noConversion"/>
  </si>
  <si>
    <t>LPG 1.6 (렌터카용)</t>
    <phoneticPr fontId="5" type="noConversion"/>
  </si>
  <si>
    <t>가솔린 2.0</t>
  </si>
  <si>
    <t>가솔린 2.0</t>
    <phoneticPr fontId="5" type="noConversion"/>
  </si>
  <si>
    <t>가솔린 터보 1.6</t>
    <phoneticPr fontId="5" type="noConversion"/>
  </si>
  <si>
    <t>LPG 2.0 (일반판매용)</t>
    <phoneticPr fontId="5" type="noConversion"/>
  </si>
  <si>
    <t>LPG 2.0 (렌터카용)</t>
    <phoneticPr fontId="5" type="noConversion"/>
  </si>
  <si>
    <t>가솔린 2.0 하이브리드</t>
    <phoneticPr fontId="5" type="noConversion"/>
  </si>
  <si>
    <t>디젤 2.2 투어러</t>
  </si>
  <si>
    <t>LPG 3.5 투어러</t>
  </si>
  <si>
    <t>디젤 2.2 라운지</t>
  </si>
  <si>
    <t>LPG 3.5 라운지</t>
  </si>
  <si>
    <t>가솔린 1.6</t>
    <phoneticPr fontId="5" type="noConversion"/>
  </si>
  <si>
    <t>가솔린 1.0 (아산출고)</t>
  </si>
  <si>
    <t>가솔린 터보 1.6 4WD</t>
    <phoneticPr fontId="11" type="noConversion"/>
  </si>
  <si>
    <t>가솔린 2.0 2WD</t>
    <phoneticPr fontId="11" type="noConversion"/>
  </si>
  <si>
    <t>가솔린 2.0 4WD</t>
    <phoneticPr fontId="11" type="noConversion"/>
  </si>
  <si>
    <t>가솔린 6.2</t>
  </si>
  <si>
    <t>가솔린 터보 1.3</t>
  </si>
  <si>
    <t>가솔린 터보 1.8</t>
  </si>
  <si>
    <t>LPG 2.0 (일반인 판매용)</t>
  </si>
  <si>
    <t>LPG 2.0 (렌터카)</t>
  </si>
  <si>
    <t>가솔린 터보 1.5</t>
  </si>
  <si>
    <t>전기 2WD</t>
  </si>
  <si>
    <t>전기 4WD</t>
  </si>
  <si>
    <t xml:space="preserve">아반떼 가솔린 1.6 </t>
  </si>
  <si>
    <t xml:space="preserve">아반떼 가솔린 1.6 하이브리드 </t>
  </si>
  <si>
    <t xml:space="preserve">아반떼 LPG 1.6 (일반) </t>
  </si>
  <si>
    <t xml:space="preserve">아반떼 LPG 1.6 (렌터카용) </t>
  </si>
  <si>
    <t xml:space="preserve">쏘나타 가솔린 2.0 하이브리드 </t>
  </si>
  <si>
    <t xml:space="preserve">쏘나타 가솔린 터보 1.6 </t>
  </si>
  <si>
    <t xml:space="preserve">쏘나타 LPG 2.0 (일반판매용) </t>
  </si>
  <si>
    <t xml:space="preserve">쏘나타 LPG 2.0 (렌터카용) </t>
  </si>
  <si>
    <t xml:space="preserve">투싼 가솔린 터보 1.6 </t>
  </si>
  <si>
    <t xml:space="preserve">투싼 디젤 2.0 </t>
  </si>
  <si>
    <t xml:space="preserve">투싼 가솔린 터보 1.6 하이브리드 </t>
  </si>
  <si>
    <t>스타리아 디젤 2.2 투어러 9인승 2WD</t>
  </si>
  <si>
    <t>스타리아 디젤 2.2 투어러 9인승 4WD</t>
  </si>
  <si>
    <t>스타리아 디젤 2.2 투어러 11인승 2WD</t>
  </si>
  <si>
    <t>스타리아 디젤 2.2 투어러 11인승 4WD</t>
  </si>
  <si>
    <t>스타리아 LPG 3.5 투어러 9인승</t>
  </si>
  <si>
    <t>스타리아 LPG 3.5 투어러 11인승</t>
  </si>
  <si>
    <t>스타리아 디젤 2.2 라운지 9인승 2WD</t>
  </si>
  <si>
    <t>스타리아 디젤 2.2 라운지 9인승 4WD</t>
  </si>
  <si>
    <t>스타리아 디젤 2.2 라운지 7인승 2WD</t>
  </si>
  <si>
    <t>스타리아 디젤 2.2 라운지 7인승 4WD</t>
  </si>
  <si>
    <t>스타리아 LPG 3.5 라운지 9인승</t>
  </si>
  <si>
    <t>스타리아 LPG 3.5 라운지 7인승</t>
  </si>
  <si>
    <t xml:space="preserve">베뉴 가솔린 1.6 </t>
  </si>
  <si>
    <t>——————————◆코나◆——————————————</t>
    <phoneticPr fontId="5" type="noConversion"/>
  </si>
  <si>
    <t xml:space="preserve">코나 가솔린 2.0 </t>
  </si>
  <si>
    <t xml:space="preserve">캐스퍼 가솔린 1.0 (아산출고) </t>
  </si>
  <si>
    <t xml:space="preserve">G70 가솔린 터보 3.3 </t>
  </si>
  <si>
    <t>GV70 가솔린 터보 2.5 2WD</t>
  </si>
  <si>
    <t>GV70 가솔린 터보 3.5 2WD</t>
  </si>
  <si>
    <t xml:space="preserve">레이 가솔린 1.0 (2인승 밴) </t>
  </si>
  <si>
    <t>————————————◆K5◆—————————————</t>
    <phoneticPr fontId="5" type="noConversion"/>
  </si>
  <si>
    <t>————————————◆K8◆—————————————</t>
    <phoneticPr fontId="5" type="noConversion"/>
  </si>
  <si>
    <t>————————————◆K9◆—————————————</t>
    <phoneticPr fontId="5" type="noConversion"/>
  </si>
  <si>
    <t xml:space="preserve">더 뉴 K9 가솔린 3.8 </t>
  </si>
  <si>
    <t xml:space="preserve">더 뉴 K9 가솔린 3.3 터보 </t>
  </si>
  <si>
    <t>————————————◆니로◆—————————————</t>
    <phoneticPr fontId="5" type="noConversion"/>
  </si>
  <si>
    <t xml:space="preserve">니로 가솔린 1.6 하이브리드 </t>
  </si>
  <si>
    <t>————————————◆카니발◆—————————————</t>
    <phoneticPr fontId="5" type="noConversion"/>
  </si>
  <si>
    <t>————————————◆모하비◆————————————————</t>
    <phoneticPr fontId="5" type="noConversion"/>
  </si>
  <si>
    <t>————————————◆셀토스◆————————————————</t>
    <phoneticPr fontId="5" type="noConversion"/>
  </si>
  <si>
    <t xml:space="preserve">셀토스 가솔린 터보 1.6 2WD </t>
  </si>
  <si>
    <t xml:space="preserve">셀토스 가솔린 터보 1.6 4WD </t>
  </si>
  <si>
    <t xml:space="preserve">셀토스 가솔린 2.0 2WD </t>
  </si>
  <si>
    <t xml:space="preserve">셀토스 가솔린 2.0 4WD </t>
  </si>
  <si>
    <t xml:space="preserve">SM6 가솔린 터보 1.3 </t>
  </si>
  <si>
    <t xml:space="preserve">SM6 가솔린 터보 1.8 </t>
  </si>
  <si>
    <t xml:space="preserve">SM6 LPG 2.0 (일반인 판매용) </t>
  </si>
  <si>
    <t xml:space="preserve">SM6 LPG 2.0 (렌터카) </t>
  </si>
  <si>
    <t>———————————◆QM6◆—————————</t>
    <phoneticPr fontId="5" type="noConversion"/>
  </si>
  <si>
    <t xml:space="preserve">QM6 가솔린 2.0 </t>
  </si>
  <si>
    <t xml:space="preserve">QM6 LPG 2.0 (일반인 판매용) </t>
  </si>
  <si>
    <t xml:space="preserve">QM6 LPG 2.0 (렌터카) </t>
  </si>
  <si>
    <t xml:space="preserve">티볼리 가솔린 터보 1.5 </t>
  </si>
  <si>
    <t xml:space="preserve">티볼리 에어 가솔린 터보 1.5 </t>
  </si>
  <si>
    <t>——————————◆코란도◆—————————————</t>
    <phoneticPr fontId="5" type="noConversion"/>
  </si>
  <si>
    <t>코란도 신형 1.5 가솔린 2WD</t>
  </si>
  <si>
    <t>코란도 신형 1.5 가솔린 AWD</t>
  </si>
  <si>
    <t>——————————◆토레스◆—————————————</t>
    <phoneticPr fontId="5" type="noConversion"/>
  </si>
  <si>
    <t>—————————◆렉스턴 아레나◆—————————————</t>
    <phoneticPr fontId="5" type="noConversion"/>
  </si>
  <si>
    <t xml:space="preserve">토레스 가솔린 터보 1.5 </t>
  </si>
  <si>
    <t xml:space="preserve">코나 전기 </t>
  </si>
  <si>
    <t xml:space="preserve">아이오닉6 전기 </t>
  </si>
  <si>
    <t>——————◆현대&amp;제네시스◆—————————————</t>
  </si>
  <si>
    <t>——————◆현대&amp;제네시스◆—————————————</t>
    <phoneticPr fontId="5" type="noConversion"/>
  </si>
  <si>
    <t>——————————◆기아◆—————————————</t>
    <phoneticPr fontId="5" type="noConversion"/>
  </si>
  <si>
    <t>EV9 전기 2WD 에어 (6인승)</t>
  </si>
  <si>
    <t>EV9 전기 2WD 어스 (6인승)</t>
  </si>
  <si>
    <t>EV9 전기 2WD 에어 (7인승)</t>
  </si>
  <si>
    <t>EV9 전기 2WD 어스 (7인승)</t>
  </si>
  <si>
    <t>EV9 전기 4WD 에어 (7인승)</t>
  </si>
  <si>
    <t>EV9 전기 4WD 어스 (7인승)</t>
  </si>
  <si>
    <t>EV9 전기 4WD GT-Line (7인승)</t>
  </si>
  <si>
    <t>EV9 전기 4WD 에어 (6인승-스위블)</t>
  </si>
  <si>
    <t>EV9 전기 4WD 에어 (6인승-릴렉션)</t>
  </si>
  <si>
    <t>EV9 전기 4WD 어스 (6인승-스위블)</t>
  </si>
  <si>
    <t>EV9 전기 4WD 어스 (6인승-릴렉션)</t>
  </si>
  <si>
    <t>EV9 전기 4WD GT-Line (6인승-스위블)</t>
  </si>
  <si>
    <t>EV9 전기 4WD GT-Line (6인승-릴렉션)</t>
  </si>
  <si>
    <t>가솔린 1.0</t>
    <phoneticPr fontId="5" type="noConversion"/>
  </si>
  <si>
    <t xml:space="preserve">레이 가솔린 1.0 </t>
  </si>
  <si>
    <t>G80 가솔린 터보 2.5 2WD</t>
  </si>
  <si>
    <t>G80 가솔린 터보 2.5 AWD</t>
  </si>
  <si>
    <t>G80 가솔린 터보 3.5 2WD</t>
  </si>
  <si>
    <t>G80 가솔린 터보 3.5 AWD</t>
  </si>
  <si>
    <t>대상차종</t>
    <phoneticPr fontId="5" type="noConversion"/>
  </si>
  <si>
    <t>토레스 EVX</t>
  </si>
  <si>
    <t>225/60R18</t>
  </si>
  <si>
    <t xml:space="preserve">토레스 EVX 전기 </t>
  </si>
  <si>
    <t>가솔린 터보 2.5</t>
    <phoneticPr fontId="5" type="noConversion"/>
  </si>
  <si>
    <t>가솔린 터보 3.3</t>
    <phoneticPr fontId="5" type="noConversion"/>
  </si>
  <si>
    <t xml:space="preserve">G70 가솔린 터보 2.5 </t>
  </si>
  <si>
    <t>티볼리</t>
    <phoneticPr fontId="5" type="noConversion"/>
  </si>
  <si>
    <t xml:space="preserve">티볼리 가솔린 1.6 </t>
  </si>
  <si>
    <t>가솔린 터보 1.5</t>
    <phoneticPr fontId="5" type="noConversion"/>
  </si>
  <si>
    <t>에어 가솔린 터보 1.5</t>
    <phoneticPr fontId="5" type="noConversion"/>
  </si>
  <si>
    <t>————————◆더 뉴 티볼리◆—————————————</t>
    <phoneticPr fontId="5" type="noConversion"/>
  </si>
  <si>
    <t>가솔린 터보 2.5 슈팅 브레이크</t>
    <phoneticPr fontId="11" type="noConversion"/>
  </si>
  <si>
    <t xml:space="preserve">G70 가솔린 터보 2.5 슈팅 브레이크 </t>
  </si>
  <si>
    <t>견적3최저잔가율</t>
    <phoneticPr fontId="5" type="noConversion"/>
  </si>
  <si>
    <t>5인승</t>
    <phoneticPr fontId="5" type="noConversion"/>
  </si>
  <si>
    <t>모하비 디젤 3.0 4WD 5인승</t>
  </si>
  <si>
    <t>모하비 디젤 3.0 4WD 6인승</t>
  </si>
  <si>
    <t>모하비 디젤 3.0 4WD 7인승</t>
  </si>
  <si>
    <t>AT27*5.33%</t>
    <phoneticPr fontId="5" type="noConversion"/>
  </si>
  <si>
    <t>개소세 4.1%</t>
    <phoneticPr fontId="5" type="noConversion"/>
  </si>
  <si>
    <t>전략</t>
    <phoneticPr fontId="5" type="noConversion"/>
  </si>
  <si>
    <t>전략P</t>
  </si>
  <si>
    <t>전략P</t>
    <phoneticPr fontId="5" type="noConversion"/>
  </si>
  <si>
    <t>프로모션차량</t>
    <phoneticPr fontId="5" type="noConversion"/>
  </si>
  <si>
    <t>전기</t>
    <phoneticPr fontId="5" type="noConversion"/>
  </si>
  <si>
    <t>Direct IRR</t>
    <phoneticPr fontId="5" type="noConversion"/>
  </si>
  <si>
    <t>Direct IRR</t>
    <phoneticPr fontId="5" type="noConversion"/>
  </si>
  <si>
    <t>1. 견적프로그램 업데이트 내용</t>
    <phoneticPr fontId="5" type="noConversion"/>
  </si>
  <si>
    <t>트레일블레이저</t>
    <phoneticPr fontId="5" type="noConversion"/>
  </si>
  <si>
    <t>가솔린 터보 1.35</t>
    <phoneticPr fontId="5" type="noConversion"/>
  </si>
  <si>
    <t xml:space="preserve">트레일블레이저 가솔린 터보 1.35 </t>
    <phoneticPr fontId="5" type="noConversion"/>
  </si>
  <si>
    <t>G90
제네시스</t>
    <phoneticPr fontId="11" type="noConversion"/>
  </si>
  <si>
    <t>K9
카니발</t>
    <phoneticPr fontId="11" type="noConversion"/>
  </si>
  <si>
    <t>쏘울
스포티지</t>
    <phoneticPr fontId="11" type="noConversion"/>
  </si>
  <si>
    <t>SM6
QM6</t>
    <phoneticPr fontId="11" type="noConversion"/>
  </si>
  <si>
    <t>없음</t>
    <phoneticPr fontId="5" type="noConversion"/>
  </si>
  <si>
    <t>코란도
토레스</t>
    <phoneticPr fontId="11" type="noConversion"/>
  </si>
  <si>
    <t>K3,K5,K8
쏘렌토
모하비</t>
    <phoneticPr fontId="11" type="noConversion"/>
  </si>
  <si>
    <t>전략</t>
    <phoneticPr fontId="5" type="noConversion"/>
  </si>
  <si>
    <t xml:space="preserve">타호 가솔린 6.2 </t>
    <phoneticPr fontId="5" type="noConversion"/>
  </si>
  <si>
    <t>견적선택2</t>
    <phoneticPr fontId="5" type="noConversion"/>
  </si>
  <si>
    <t xml:space="preserve"> (5인승)</t>
  </si>
  <si>
    <t xml:space="preserve"> (6인승)</t>
  </si>
  <si>
    <t xml:space="preserve"> (7인승)</t>
  </si>
  <si>
    <t>————————◆신형 싼타페◆———————————————</t>
  </si>
  <si>
    <t>————————◆신형 싼타페◆———————————————</t>
    <phoneticPr fontId="5" type="noConversion"/>
  </si>
  <si>
    <t>더 뉴 쏘렌토</t>
  </si>
  <si>
    <t>5인승</t>
    <phoneticPr fontId="5" type="noConversion"/>
  </si>
  <si>
    <t>—————————◆쏘렌토 페이스리프트◆———————————</t>
    <phoneticPr fontId="5" type="noConversion"/>
  </si>
  <si>
    <t>더 뉴 쏘렌토</t>
    <phoneticPr fontId="5" type="noConversion"/>
  </si>
  <si>
    <t>잔가프로모션</t>
    <phoneticPr fontId="5" type="noConversion"/>
  </si>
  <si>
    <t>출고보험료</t>
    <phoneticPr fontId="5" type="noConversion"/>
  </si>
  <si>
    <t>보험회사</t>
    <phoneticPr fontId="5" type="noConversion"/>
  </si>
  <si>
    <t>공제조합</t>
  </si>
  <si>
    <t>개별소비세율</t>
    <phoneticPr fontId="5" type="noConversion"/>
  </si>
  <si>
    <t>추가할인</t>
    <phoneticPr fontId="5" type="noConversion"/>
  </si>
  <si>
    <t>일반잔가군</t>
    <phoneticPr fontId="5" type="noConversion"/>
  </si>
  <si>
    <t>고잔가군</t>
    <phoneticPr fontId="5" type="noConversion"/>
  </si>
  <si>
    <t>선구매</t>
    <phoneticPr fontId="5" type="noConversion"/>
  </si>
  <si>
    <t>선구매</t>
    <phoneticPr fontId="5" type="noConversion"/>
  </si>
  <si>
    <r>
      <rPr>
        <b/>
        <sz val="11"/>
        <color theme="1" tint="0.14999847407452621"/>
        <rFont val="맑은 고딕"/>
        <family val="3"/>
        <charset val="129"/>
      </rPr>
      <t>심사취득가</t>
    </r>
    <r>
      <rPr>
        <b/>
        <sz val="7"/>
        <color theme="1" tint="0.14999847407452621"/>
        <rFont val="맑은 고딕"/>
        <family val="3"/>
        <charset val="129"/>
      </rPr>
      <t>(x1.1)</t>
    </r>
    <phoneticPr fontId="5" type="noConversion"/>
  </si>
  <si>
    <r>
      <t xml:space="preserve">*차량출고 후 제조사의 차량결함으로인한 교환 및 취소된 차량 外 </t>
    </r>
    <r>
      <rPr>
        <u/>
        <sz val="9"/>
        <color theme="1"/>
        <rFont val="맑은 고딕"/>
        <family val="3"/>
        <charset val="129"/>
        <scheme val="major"/>
      </rPr>
      <t>인수거부는 불가하며 인수하지 않을 시 중도해지수수료가 발생됩니다.</t>
    </r>
    <phoneticPr fontId="5" type="noConversion"/>
  </si>
  <si>
    <t>KG모빌리티는 추가 트림이 없을 경우 견적보다 할인(0.2%)상향(발주時확정)</t>
    <phoneticPr fontId="5" type="noConversion"/>
  </si>
  <si>
    <t>————————◆KG모빌리티◆———————————</t>
    <phoneticPr fontId="5" type="noConversion"/>
  </si>
  <si>
    <t>KG모빌리티</t>
    <phoneticPr fontId="5" type="noConversion"/>
  </si>
  <si>
    <t>Direct(재이용)</t>
    <phoneticPr fontId="5" type="noConversion"/>
  </si>
  <si>
    <t>레이 EV</t>
  </si>
  <si>
    <t>175/60R14</t>
  </si>
  <si>
    <t>전기</t>
    <phoneticPr fontId="5" type="noConversion"/>
  </si>
  <si>
    <t xml:space="preserve">레이 EV 전기 </t>
  </si>
  <si>
    <t>잔가프로모션</t>
    <phoneticPr fontId="5" type="noConversion"/>
  </si>
  <si>
    <t>쿠페 가솔린 터보 2.5</t>
  </si>
  <si>
    <t>쿠페 가솔린 터보 3.5</t>
  </si>
  <si>
    <t>쿠페 가솔린 터보 3.5-48V 일렉트릭 슈퍼차저</t>
  </si>
  <si>
    <t>가솔린 터보 2.5</t>
    <phoneticPr fontId="5" type="noConversion"/>
  </si>
  <si>
    <t>(5인승)</t>
    <phoneticPr fontId="5" type="noConversion"/>
  </si>
  <si>
    <t>(6인승)</t>
    <phoneticPr fontId="5" type="noConversion"/>
  </si>
  <si>
    <t>(7인승)</t>
    <phoneticPr fontId="5" type="noConversion"/>
  </si>
  <si>
    <t>GV80</t>
    <phoneticPr fontId="5" type="noConversion"/>
  </si>
  <si>
    <t>GV80 가솔린 터보 2.5 (5인승)</t>
  </si>
  <si>
    <t>GV80 가솔린 터보 2.5 (6인승)</t>
  </si>
  <si>
    <t>GV80 가솔린 터보 2.5 (7인승)</t>
  </si>
  <si>
    <t>GV80 가솔린 터보 3.5 (5인승)</t>
  </si>
  <si>
    <t>GV80 가솔린 터보 3.5 (6인승)</t>
  </si>
  <si>
    <t>GV80 가솔린 터보 3.5 (7인승)</t>
  </si>
  <si>
    <t xml:space="preserve">GV80 쿠페 가솔린 터보 2.5 </t>
  </si>
  <si>
    <t xml:space="preserve">GV80 쿠페 가솔린 터보 3.5 </t>
  </si>
  <si>
    <t xml:space="preserve">GV80 쿠페 가솔린 터보 3.5-48V 일렉트릭 슈퍼차저 </t>
  </si>
  <si>
    <t>일반</t>
    <phoneticPr fontId="5" type="noConversion"/>
  </si>
  <si>
    <t>경차</t>
    <phoneticPr fontId="5" type="noConversion"/>
  </si>
  <si>
    <t>토레스</t>
    <phoneticPr fontId="5" type="noConversion"/>
  </si>
  <si>
    <t>공제조합</t>
    <phoneticPr fontId="5" type="noConversion"/>
  </si>
  <si>
    <t>7인승</t>
    <phoneticPr fontId="5" type="noConversion"/>
  </si>
  <si>
    <t>9인승</t>
    <phoneticPr fontId="5" type="noConversion"/>
  </si>
  <si>
    <t>가솔린 터보 1.6 하이브리드</t>
    <phoneticPr fontId="5" type="noConversion"/>
  </si>
  <si>
    <t>가솔린 3.5</t>
    <phoneticPr fontId="5" type="noConversion"/>
  </si>
  <si>
    <t>디젤 2.2</t>
    <phoneticPr fontId="5" type="noConversion"/>
  </si>
  <si>
    <t>가솔린 터보 1.6 하이브리드 하이리무진</t>
    <phoneticPr fontId="5" type="noConversion"/>
  </si>
  <si>
    <t>4인승</t>
  </si>
  <si>
    <t>4인승</t>
    <phoneticPr fontId="5" type="noConversion"/>
  </si>
  <si>
    <t>7인승</t>
    <phoneticPr fontId="5" type="noConversion"/>
  </si>
  <si>
    <t>9인승</t>
  </si>
  <si>
    <t>9인승</t>
    <phoneticPr fontId="5" type="noConversion"/>
  </si>
  <si>
    <t>가솔린 3.5 하이리무진</t>
  </si>
  <si>
    <t>디젤 2.2 하이리무진</t>
  </si>
  <si>
    <t>가솔린 3.5</t>
  </si>
  <si>
    <t>더 뉴 카니발</t>
    <phoneticPr fontId="5" type="noConversion"/>
  </si>
  <si>
    <t>더 뉴 카니발 가솔린 터보 1.6 하이브리드 하이리무진 4인승</t>
  </si>
  <si>
    <t>더 뉴 카니발 가솔린 터보 1.6 하이브리드 하이리무진 7인승</t>
  </si>
  <si>
    <t>더 뉴 카니발 가솔린 터보 1.6 하이브리드 하이리무진 9인승</t>
  </si>
  <si>
    <t>더 뉴 카니발 가솔린 3.5 하이리무진 4인승</t>
  </si>
  <si>
    <t>더 뉴 카니발 가솔린 3.5 하이리무진 7인승</t>
  </si>
  <si>
    <t>더 뉴 카니발 가솔린 3.5 하이리무진 9인승</t>
  </si>
  <si>
    <t>더 뉴 카니발 디젤 2.2 하이리무진 9인승</t>
  </si>
  <si>
    <t>더 뉴 카니발 가솔린 터보 1.6 하이브리드 7인승</t>
  </si>
  <si>
    <t>더 뉴 카니발 가솔린 터보 1.6 하이브리드 9인승</t>
  </si>
  <si>
    <t>더 뉴 카니발 가솔린 3.5 7인승</t>
  </si>
  <si>
    <t>더 뉴 카니발 가솔린 3.5 9인승</t>
  </si>
  <si>
    <t>더 뉴 카니발 디젤 2.2 7인승</t>
  </si>
  <si>
    <t>더 뉴 카니발 디젤 2.2 9인승</t>
  </si>
  <si>
    <t>등록대행비</t>
    <phoneticPr fontId="5" type="noConversion"/>
  </si>
  <si>
    <t>번호판금액</t>
    <phoneticPr fontId="5" type="noConversion"/>
  </si>
  <si>
    <t>증지대</t>
    <phoneticPr fontId="5" type="noConversion"/>
  </si>
  <si>
    <t>보조</t>
    <phoneticPr fontId="5" type="noConversion"/>
  </si>
  <si>
    <t>손세차</t>
    <phoneticPr fontId="5" type="noConversion"/>
  </si>
  <si>
    <t>제조사탁송</t>
  </si>
  <si>
    <t>제조사탁송</t>
    <phoneticPr fontId="5" type="noConversion"/>
  </si>
  <si>
    <t>외주/복합</t>
  </si>
  <si>
    <t>외주/복합</t>
    <phoneticPr fontId="5" type="noConversion"/>
  </si>
  <si>
    <t>■ 일반차/유림</t>
    <phoneticPr fontId="5" type="noConversion"/>
  </si>
  <si>
    <t>■ 오토클릭</t>
    <phoneticPr fontId="5" type="noConversion"/>
  </si>
  <si>
    <t>■ 전기차/유림</t>
    <phoneticPr fontId="5" type="noConversion"/>
  </si>
  <si>
    <t>법인번호판발급</t>
    <phoneticPr fontId="5" type="noConversion"/>
  </si>
  <si>
    <t>▣ 법인업무용자동차 번호판 발급대상 안내</t>
    <phoneticPr fontId="5" type="noConversion"/>
  </si>
  <si>
    <t>【중요사항】</t>
    <phoneticPr fontId="5" type="noConversion"/>
  </si>
  <si>
    <t>【신한카드 장기렌터카 운영】</t>
    <phoneticPr fontId="5" type="noConversion"/>
  </si>
  <si>
    <t xml:space="preserve">   ※ 견적기 예시) 법인업무용자동차 번호판 발급 대상의 경우 아래와 같이 견적에 표기됨.</t>
    <phoneticPr fontId="5" type="noConversion"/>
  </si>
  <si>
    <t>▣ 운전자등록 신청서 시트 추가</t>
    <phoneticPr fontId="5" type="noConversion"/>
  </si>
  <si>
    <t xml:space="preserve">   ※ 여객운수사업법 제34조의 2 제2항에 따라 운전자격확인 대상이 개인 및 개인사업자일 경우 운전자격 검증 의무 有</t>
    <phoneticPr fontId="5" type="noConversion"/>
  </si>
  <si>
    <t>※ 입고정비업체: 마스타자동차㈜, (주)카랑</t>
    <phoneticPr fontId="5" type="noConversion"/>
  </si>
  <si>
    <t>※입고정비업체: 마스타자동차㈜, ㈜카랑</t>
    <phoneticPr fontId="5" type="noConversion"/>
  </si>
  <si>
    <r>
      <t xml:space="preserve"> -</t>
    </r>
    <r>
      <rPr>
        <b/>
        <sz val="13"/>
        <rFont val="원신한 Light"/>
        <family val="3"/>
        <charset val="129"/>
      </rPr>
      <t xml:space="preserve"> 계약자 본인 및 추가 운전자 자격검증 </t>
    </r>
    <phoneticPr fontId="5" type="noConversion"/>
  </si>
  <si>
    <t>디젤 2.2 라운지</t>
    <phoneticPr fontId="5" type="noConversion"/>
  </si>
  <si>
    <t>9인승 리무진</t>
    <phoneticPr fontId="5" type="noConversion"/>
  </si>
  <si>
    <t>7인승 리무진</t>
    <phoneticPr fontId="5" type="noConversion"/>
  </si>
  <si>
    <t>스타리아 디젤 2.2 라운지 7인승 리무진</t>
  </si>
  <si>
    <t>스타리아 디젤 2.2 라운지 9인승 리무진</t>
  </si>
  <si>
    <t>1번견적</t>
    <phoneticPr fontId="5" type="noConversion"/>
  </si>
  <si>
    <t>2번건젹</t>
    <phoneticPr fontId="5" type="noConversion"/>
  </si>
  <si>
    <t>3번견적</t>
    <phoneticPr fontId="5" type="noConversion"/>
  </si>
  <si>
    <t>공제조합</t>
    <phoneticPr fontId="5" type="noConversion"/>
  </si>
  <si>
    <r>
      <t xml:space="preserve">   ○ </t>
    </r>
    <r>
      <rPr>
        <b/>
        <sz val="11"/>
        <color rgb="FFC00000"/>
        <rFont val="원신한 Light"/>
        <family val="3"/>
        <charset val="129"/>
      </rPr>
      <t>특이색상 취급 불가</t>
    </r>
    <r>
      <rPr>
        <sz val="11"/>
        <rFont val="원신한 Light"/>
        <family val="3"/>
        <charset val="129"/>
      </rPr>
      <t xml:space="preserve"> (외장 : </t>
    </r>
    <r>
      <rPr>
        <b/>
        <sz val="11"/>
        <rFont val="원신한 Light"/>
        <family val="3"/>
        <charset val="129"/>
      </rPr>
      <t>무광 전색상</t>
    </r>
    <r>
      <rPr>
        <sz val="11"/>
        <rFont val="원신한 Light"/>
        <family val="3"/>
        <charset val="129"/>
      </rPr>
      <t xml:space="preserve">, </t>
    </r>
    <r>
      <rPr>
        <sz val="11"/>
        <color rgb="FF0000FF"/>
        <rFont val="원신한 Light"/>
        <family val="3"/>
        <charset val="129"/>
      </rPr>
      <t>블루</t>
    </r>
    <r>
      <rPr>
        <sz val="11"/>
        <rFont val="원신한 Light"/>
        <family val="3"/>
        <charset val="129"/>
      </rPr>
      <t xml:space="preserve">, </t>
    </r>
    <r>
      <rPr>
        <sz val="11"/>
        <color rgb="FFFF0000"/>
        <rFont val="원신한 Light"/>
        <family val="3"/>
        <charset val="129"/>
      </rPr>
      <t>레드</t>
    </r>
    <r>
      <rPr>
        <sz val="11"/>
        <rFont val="원신한 Light"/>
        <family val="3"/>
        <charset val="129"/>
      </rPr>
      <t xml:space="preserve">, </t>
    </r>
    <r>
      <rPr>
        <sz val="11"/>
        <color theme="9" tint="-0.499984740745262"/>
        <rFont val="원신한 Light"/>
        <family val="3"/>
        <charset val="129"/>
      </rPr>
      <t>그린</t>
    </r>
    <r>
      <rPr>
        <sz val="11"/>
        <rFont val="원신한 Light"/>
        <family val="3"/>
        <charset val="129"/>
      </rPr>
      <t xml:space="preserve">, </t>
    </r>
    <r>
      <rPr>
        <sz val="11"/>
        <color theme="7" tint="-0.249977111117893"/>
        <rFont val="원신한 Light"/>
        <family val="3"/>
        <charset val="129"/>
      </rPr>
      <t>옐로우</t>
    </r>
    <r>
      <rPr>
        <sz val="11"/>
        <rFont val="원신한 Light"/>
        <family val="3"/>
        <charset val="129"/>
      </rPr>
      <t xml:space="preserve">, </t>
    </r>
    <r>
      <rPr>
        <sz val="11"/>
        <color theme="5" tint="-0.249977111117893"/>
        <rFont val="원신한 Light"/>
        <family val="3"/>
        <charset val="129"/>
      </rPr>
      <t>브라운</t>
    </r>
    <r>
      <rPr>
        <sz val="11"/>
        <rFont val="원신한 Light"/>
        <family val="3"/>
        <charset val="129"/>
      </rPr>
      <t xml:space="preserve"> 계통 등 / 내장 : </t>
    </r>
    <r>
      <rPr>
        <sz val="11"/>
        <color rgb="FFFF0000"/>
        <rFont val="원신한 Light"/>
        <family val="3"/>
        <charset val="129"/>
      </rPr>
      <t>레드</t>
    </r>
    <r>
      <rPr>
        <sz val="11"/>
        <rFont val="원신한 Light"/>
        <family val="3"/>
        <charset val="129"/>
      </rPr>
      <t xml:space="preserve"> 등)</t>
    </r>
    <phoneticPr fontId="5" type="noConversion"/>
  </si>
  <si>
    <r>
      <t xml:space="preserve">   ○ 현대자동차 '</t>
    </r>
    <r>
      <rPr>
        <b/>
        <sz val="11"/>
        <color rgb="FFC00000"/>
        <rFont val="원신한 Light"/>
        <family val="3"/>
        <charset val="129"/>
      </rPr>
      <t>N line' 취급 불가</t>
    </r>
    <r>
      <rPr>
        <sz val="11"/>
        <rFont val="원신한 Light"/>
        <family val="3"/>
        <charset val="129"/>
      </rPr>
      <t xml:space="preserve"> (아반떼N, 쏘나타N, 투싼N, 코나N, 아이오닉5N 등)</t>
    </r>
    <phoneticPr fontId="5" type="noConversion"/>
  </si>
  <si>
    <t>최종 보험사</t>
    <phoneticPr fontId="5" type="noConversion"/>
  </si>
  <si>
    <t>▣ 취급 제한</t>
    <phoneticPr fontId="5" type="noConversion"/>
  </si>
  <si>
    <t xml:space="preserve">GV70 (선구매) 가솔린 터보 2.5 AWD </t>
  </si>
  <si>
    <t>공지시트
취급 불가 색상
확인 필수</t>
    <phoneticPr fontId="5" type="noConversion"/>
  </si>
  <si>
    <t>더 뉴 카니발 (선구매) 가솔린 터보 1.6 하이브리드 9인승</t>
  </si>
  <si>
    <t xml:space="preserve">투싼 (선구매) 가솔린 터보 1.6 하이브리드 </t>
  </si>
  <si>
    <t>V:전기+가솔린 겸용</t>
    <phoneticPr fontId="5" type="noConversion"/>
  </si>
  <si>
    <t>가솔린 터보 1.6 하이브리드 투어러</t>
    <phoneticPr fontId="5" type="noConversion"/>
  </si>
  <si>
    <t>V</t>
    <phoneticPr fontId="5" type="noConversion"/>
  </si>
  <si>
    <t>가솔린 터보 1.6 2WD</t>
    <phoneticPr fontId="11" type="noConversion"/>
  </si>
  <si>
    <t>다이렉트여부</t>
    <phoneticPr fontId="5" type="noConversion"/>
  </si>
  <si>
    <t>만 26세(개인)-누구나</t>
    <phoneticPr fontId="11" type="noConversion"/>
  </si>
  <si>
    <t>만 21세(개인)-누구나</t>
    <phoneticPr fontId="11" type="noConversion"/>
  </si>
  <si>
    <t>담보별 보험료</t>
    <phoneticPr fontId="11" type="noConversion"/>
  </si>
  <si>
    <t>(단위: 원)</t>
    <phoneticPr fontId="11" type="noConversion"/>
  </si>
  <si>
    <t>다인승7-8</t>
    <phoneticPr fontId="11" type="noConversion"/>
  </si>
  <si>
    <t>다인승9-10</t>
    <phoneticPr fontId="11" type="noConversion"/>
  </si>
  <si>
    <t>대인1</t>
    <phoneticPr fontId="11" type="noConversion"/>
  </si>
  <si>
    <t>책임</t>
    <phoneticPr fontId="11" type="noConversion"/>
  </si>
  <si>
    <t>대인2</t>
    <phoneticPr fontId="11" type="noConversion"/>
  </si>
  <si>
    <t>3억</t>
    <phoneticPr fontId="11" type="noConversion"/>
  </si>
  <si>
    <t>3천만</t>
    <phoneticPr fontId="11" type="noConversion"/>
  </si>
  <si>
    <t>5천만</t>
    <phoneticPr fontId="11" type="noConversion"/>
  </si>
  <si>
    <t>6회 / 가입 시</t>
    <phoneticPr fontId="11" type="noConversion"/>
  </si>
  <si>
    <t>1천만원 기준</t>
    <phoneticPr fontId="11" type="noConversion"/>
  </si>
  <si>
    <t>만 26세(법인)-임직원</t>
    <phoneticPr fontId="11" type="noConversion"/>
  </si>
  <si>
    <t>만 26세(법인) 누구나</t>
    <phoneticPr fontId="11" type="noConversion"/>
  </si>
  <si>
    <t>만 21세(법인) 누구나</t>
    <phoneticPr fontId="11" type="noConversion"/>
  </si>
  <si>
    <t>6인승</t>
    <phoneticPr fontId="5" type="noConversion"/>
  </si>
  <si>
    <t>5인승</t>
    <phoneticPr fontId="5" type="noConversion"/>
  </si>
  <si>
    <t>싼타페 (선구매) 가솔린 터보 1.6 하이브리드 2WD 5인승</t>
  </si>
  <si>
    <t>싼타페 (선구매) 가솔린 터보 1.6 하이브리드 2WD 6인승</t>
  </si>
  <si>
    <t>크로스오버 가솔린 터보 1.2</t>
    <phoneticPr fontId="5" type="noConversion"/>
  </si>
  <si>
    <t>트랙스</t>
    <phoneticPr fontId="5" type="noConversion"/>
  </si>
  <si>
    <t>TRX</t>
    <phoneticPr fontId="5" type="noConversion"/>
  </si>
  <si>
    <t xml:space="preserve">트랙스 크로스오버 가솔린 터보 1.2 </t>
  </si>
  <si>
    <t>플러스 전기</t>
    <phoneticPr fontId="5" type="noConversion"/>
  </si>
  <si>
    <t>니로</t>
    <phoneticPr fontId="5" type="noConversion"/>
  </si>
  <si>
    <t xml:space="preserve">니로 플러스 전기 </t>
  </si>
  <si>
    <t>■ 출고지별 탁송업체 배정 (24. 03 ~ )</t>
    <phoneticPr fontId="5" type="noConversion"/>
  </si>
  <si>
    <t>고객/상품</t>
    <phoneticPr fontId="5" type="noConversion"/>
  </si>
  <si>
    <t>출고구분</t>
    <phoneticPr fontId="5" type="noConversion"/>
  </si>
  <si>
    <t>카드연결</t>
    <phoneticPr fontId="5" type="noConversion"/>
  </si>
  <si>
    <t>탁송정보</t>
    <phoneticPr fontId="5" type="noConversion"/>
  </si>
  <si>
    <t>차량정보</t>
    <phoneticPr fontId="5" type="noConversion"/>
  </si>
  <si>
    <t>부가
서비스
(선택)</t>
    <phoneticPr fontId="5" type="noConversion"/>
  </si>
  <si>
    <t>정비/보험</t>
    <phoneticPr fontId="5" type="noConversion"/>
  </si>
  <si>
    <t>렌탈조건</t>
    <phoneticPr fontId="5" type="noConversion"/>
  </si>
  <si>
    <t>수수료</t>
    <phoneticPr fontId="5" type="noConversion"/>
  </si>
  <si>
    <t>금리</t>
    <phoneticPr fontId="5" type="noConversion"/>
  </si>
  <si>
    <t>기타</t>
    <phoneticPr fontId="5" type="noConversion"/>
  </si>
  <si>
    <t>가솔린 터보 2.5 2WD</t>
    <phoneticPr fontId="5" type="noConversion"/>
  </si>
  <si>
    <t>가솔린 터보 2.5 AWD</t>
    <phoneticPr fontId="5" type="noConversion"/>
  </si>
  <si>
    <t>가솔린 터보 1.6 하이브리드 2WD</t>
    <phoneticPr fontId="5" type="noConversion"/>
  </si>
  <si>
    <t>가솔린 터보 1.6 하이브리드 AWD</t>
    <phoneticPr fontId="5" type="noConversion"/>
  </si>
  <si>
    <t>싼타페 가솔린 터보 2.5 2WD  (5인승)</t>
  </si>
  <si>
    <t>싼타페 가솔린 터보 2.5 2WD  (6인승)</t>
  </si>
  <si>
    <t>싼타페 가솔린 터보 2.5 2WD  (7인승)</t>
  </si>
  <si>
    <t>싼타페 가솔린 터보 2.5 AWD  (5인승)</t>
  </si>
  <si>
    <t>싼타페 가솔린 터보 2.5 AWD  (6인승)</t>
  </si>
  <si>
    <t>싼타페 가솔린 터보 2.5 AWD  (7인승)</t>
  </si>
  <si>
    <t>싼타페 가솔린 터보 1.6 하이브리드 2WD  (5인승)</t>
  </si>
  <si>
    <t>싼타페 가솔린 터보 1.6 하이브리드 2WD  (6인승)</t>
  </si>
  <si>
    <t>싼타페 가솔린 터보 1.6 하이브리드 2WD  (7인승)</t>
  </si>
  <si>
    <t>싼타페 가솔린 터보 1.6 하이브리드 AWD  (5인승)</t>
  </si>
  <si>
    <t>싼타페 가솔린 터보 1.6 하이브리드 AWD  (6인승)</t>
  </si>
  <si>
    <t>싼타페 가솔린 터보 1.6 하이브리드 AWD  (7인승)</t>
  </si>
  <si>
    <t xml:space="preserve"> 가솔린 터보 3.5</t>
  </si>
  <si>
    <t>롱휠베이스 AWD (5인승)</t>
  </si>
  <si>
    <t>롱휠베이스 AWD (4인승)</t>
  </si>
  <si>
    <t xml:space="preserve"> 가솔린 터보 3.5-48V 일렉트릭 슈퍼차저</t>
  </si>
  <si>
    <t>BLACK AWD (5인승)</t>
  </si>
  <si>
    <t>245/40R21</t>
  </si>
  <si>
    <t>275/35R21</t>
  </si>
  <si>
    <t>BLACK AWD (4인승)</t>
  </si>
  <si>
    <t>6:6급</t>
  </si>
  <si>
    <t>G90  가솔린 터보 3.5 2WD (5인승)</t>
  </si>
  <si>
    <t>G90  가솔린 터보 3.5 2WD (4인승)</t>
  </si>
  <si>
    <t>G90  가솔린 터보 3.5 AWD (5인승)</t>
  </si>
  <si>
    <t>G90  가솔린 터보 3.5 AWD (4인승)</t>
  </si>
  <si>
    <t>G90  가솔린 터보 3.5 롱휠베이스 AWD (5인승)</t>
  </si>
  <si>
    <t>G90  가솔린 터보 3.5 롱휠베이스 AWD (4인승)</t>
  </si>
  <si>
    <t>G90  가솔린 터보 3.5-48V 일렉트릭 슈퍼차저 2WD (5인승)</t>
  </si>
  <si>
    <t>G90  가솔린 터보 3.5-48V 일렉트릭 슈퍼차저 2WD (4인승)</t>
  </si>
  <si>
    <t>G90  가솔린 터보 3.5-48V 일렉트릭 슈퍼차저 AWD (5인승)</t>
  </si>
  <si>
    <t>G90  가솔린 터보 3.5-48V 일렉트릭 슈퍼차저 AWD (4인승)</t>
  </si>
  <si>
    <t>G90  가솔린 터보 3.5-48V 일렉트릭 슈퍼차저 BLACK AWD (5인승)</t>
  </si>
  <si>
    <t>G90  가솔린 터보 3.5-48V 일렉트릭 슈퍼차저 BLACK AWD (4인승)</t>
  </si>
  <si>
    <t>가솔린 1.0 (밴) (아산출고)</t>
    <phoneticPr fontId="5" type="noConversion"/>
  </si>
  <si>
    <t xml:space="preserve">캐스퍼 가솔린 1.0 (밴) (아산출고) </t>
  </si>
  <si>
    <t>본사추가할인</t>
    <phoneticPr fontId="5" type="noConversion"/>
  </si>
  <si>
    <t>V:전기+가솔린 겸용</t>
    <phoneticPr fontId="5" type="noConversion"/>
  </si>
  <si>
    <t>가솔린 터보 1.6 하이브리드 라운지</t>
    <phoneticPr fontId="5" type="noConversion"/>
  </si>
  <si>
    <t>9인승 2WD</t>
    <phoneticPr fontId="5" type="noConversion"/>
  </si>
  <si>
    <t>7인승 2WD</t>
    <phoneticPr fontId="5" type="noConversion"/>
  </si>
  <si>
    <t>스타리아 가솔린 터보 1.6 하이브리드 라운지 9인승 2WD</t>
  </si>
  <si>
    <t>스타리아 가솔린 터보 1.6 하이브리드 라운지 7인승 2WD</t>
  </si>
  <si>
    <t>11인승 2WD</t>
    <phoneticPr fontId="5" type="noConversion"/>
  </si>
  <si>
    <t>스타리아 가솔린 터보 1.6 하이브리드 투어러 11인승 2WD</t>
  </si>
  <si>
    <t>스타리아 가솔린 터보 1.6 하이브리드 투어러 9인승 2WD</t>
  </si>
  <si>
    <t>가솔린 터보 2.5 2WD</t>
  </si>
  <si>
    <t>가솔린 터보 2.5 4WD</t>
  </si>
  <si>
    <t>디젤 2.2 2WD</t>
  </si>
  <si>
    <t>디젤 2.2 4WD</t>
  </si>
  <si>
    <t>더 뉴 쏘렌토 가솔린 터보 2.5 2WD 5인승</t>
  </si>
  <si>
    <t>더 뉴 쏘렌토 가솔린 터보 2.5 2WD 6인승</t>
  </si>
  <si>
    <t>더 뉴 쏘렌토 가솔린 터보 2.5 2WD 7인승</t>
  </si>
  <si>
    <t>더 뉴 쏘렌토 가솔린 터보 2.5 4WD 5인승</t>
  </si>
  <si>
    <t>더 뉴 쏘렌토 가솔린 터보 2.5 4WD 6인승</t>
  </si>
  <si>
    <t>더 뉴 쏘렌토 가솔린 터보 2.5 4WD 7인승</t>
  </si>
  <si>
    <t>더 뉴 쏘렌토 디젤 2.2 2WD 5인승</t>
  </si>
  <si>
    <t>더 뉴 쏘렌토 디젤 2.2 2WD 6인승</t>
  </si>
  <si>
    <t>더 뉴 쏘렌토 디젤 2.2 2WD 7인승</t>
  </si>
  <si>
    <t>더 뉴 쏘렌토 디젤 2.2 4WD 5인승</t>
  </si>
  <si>
    <t>더 뉴 쏘렌토 디젤 2.2 4WD 6인승</t>
  </si>
  <si>
    <t>더 뉴 쏘렌토 디젤 2.2 4WD 7인승</t>
  </si>
  <si>
    <t>더 뉴 쏘렌토 가솔린 터보 1.6 하이브리드 2WD 5인승</t>
  </si>
  <si>
    <t>더 뉴 쏘렌토 가솔린 터보 1.6 하이브리드 2WD 6인승</t>
  </si>
  <si>
    <t>더 뉴 쏘렌토 가솔린 터보 1.6 하이브리드 2WD 7인승</t>
  </si>
  <si>
    <t>더 뉴 쏘렌토 가솔린 터보 1.6 하이브리드 4WD 5인승</t>
  </si>
  <si>
    <t>더 뉴 쏘렌토 가솔린 터보 1.6 하이브리드 4WD 6인승</t>
  </si>
  <si>
    <t>더 뉴 쏘렌토 가솔린 터보 1.6 하이브리드 4WD 7인승</t>
  </si>
  <si>
    <t xml:space="preserve">아르카나 가솔린 터보 1.3 </t>
  </si>
  <si>
    <t xml:space="preserve">아르카나 가솔린 1.6 </t>
  </si>
  <si>
    <t>G90 LWB</t>
    <phoneticPr fontId="5" type="noConversion"/>
  </si>
  <si>
    <t>아르카나</t>
  </si>
  <si>
    <t>ARK</t>
  </si>
  <si>
    <t>215/55R18</t>
  </si>
  <si>
    <t>가솔린 터보 1.3</t>
    <phoneticPr fontId="5" type="noConversion"/>
  </si>
  <si>
    <t>가솔린 1.6</t>
    <phoneticPr fontId="5" type="noConversion"/>
  </si>
  <si>
    <t>가솔린 1.6 하이브리드 (E-TECH)</t>
    <phoneticPr fontId="5" type="noConversion"/>
  </si>
  <si>
    <t xml:space="preserve">아르카나 가솔린 1.6 하이브리드 (E-TECH) </t>
  </si>
  <si>
    <t>제조사탁송(현대/기아/쌍용)</t>
    <phoneticPr fontId="5" type="noConversion"/>
  </si>
  <si>
    <t>제조사탁송(쉐보레/르노/수입차)</t>
    <phoneticPr fontId="5" type="noConversion"/>
  </si>
  <si>
    <t>르노코리아</t>
    <phoneticPr fontId="5" type="noConversion"/>
  </si>
  <si>
    <t>쉐보레</t>
    <phoneticPr fontId="5" type="noConversion"/>
  </si>
  <si>
    <t>가솔린 터보 1.6 하이브리드</t>
    <phoneticPr fontId="5" type="noConversion"/>
  </si>
  <si>
    <t>투싼</t>
    <phoneticPr fontId="5" type="noConversion"/>
  </si>
  <si>
    <t>가솔린 터보 1.6</t>
    <phoneticPr fontId="5" type="noConversion"/>
  </si>
  <si>
    <t>디젤 2.0</t>
    <phoneticPr fontId="5" type="noConversion"/>
  </si>
  <si>
    <t>가솔린 1.6 하이브리드</t>
    <phoneticPr fontId="5" type="noConversion"/>
  </si>
  <si>
    <t>가솔린 2.0</t>
    <phoneticPr fontId="5" type="noConversion"/>
  </si>
  <si>
    <t>코나</t>
    <phoneticPr fontId="5" type="noConversion"/>
  </si>
  <si>
    <t>KNA</t>
    <phoneticPr fontId="5" type="noConversion"/>
  </si>
  <si>
    <t xml:space="preserve">코나 가솔린 터보 1.6 </t>
  </si>
  <si>
    <t xml:space="preserve">코나 가솔린 1.6 하이브리드 </t>
  </si>
  <si>
    <t>2WD</t>
  </si>
  <si>
    <t>AWD</t>
  </si>
  <si>
    <t>5:5급</t>
    <phoneticPr fontId="5" type="noConversion"/>
  </si>
  <si>
    <t>G80</t>
    <phoneticPr fontId="5" type="noConversion"/>
  </si>
  <si>
    <t>가솔린 터보 2.5</t>
    <phoneticPr fontId="5" type="noConversion"/>
  </si>
  <si>
    <t>가솔린 터보 3.5</t>
    <phoneticPr fontId="5" type="noConversion"/>
  </si>
  <si>
    <t>GV70 가솔린 터보 2.5 AWD</t>
  </si>
  <si>
    <t>GV70 가솔린 터보 3.5 AWD</t>
  </si>
  <si>
    <t>모닝</t>
  </si>
  <si>
    <t>MON</t>
    <phoneticPr fontId="5" type="noConversion"/>
  </si>
  <si>
    <t>가솔린 1.0</t>
    <phoneticPr fontId="5" type="noConversion"/>
  </si>
  <si>
    <t>가솔린 1.0 (밴)</t>
    <phoneticPr fontId="5" type="noConversion"/>
  </si>
  <si>
    <t xml:space="preserve">모닝 가솔린 1.0 (밴) </t>
  </si>
  <si>
    <t>가솔린 1.0 (2인승 밴)</t>
    <phoneticPr fontId="5" type="noConversion"/>
  </si>
  <si>
    <t>K5A</t>
    <phoneticPr fontId="5" type="noConversion"/>
  </si>
  <si>
    <t>가솔린 2.0 하이브리드</t>
    <phoneticPr fontId="5" type="noConversion"/>
  </si>
  <si>
    <t>LPG 2.0 (일반판매용)</t>
    <phoneticPr fontId="5" type="noConversion"/>
  </si>
  <si>
    <t>LPG 2.0 (렌터카)</t>
    <phoneticPr fontId="5" type="noConversion"/>
  </si>
  <si>
    <t xml:space="preserve">K5 LPG 2.0 (일반판매용) </t>
  </si>
  <si>
    <t xml:space="preserve">K8 가솔린 터보 1.6 하이브리드 </t>
  </si>
  <si>
    <t xml:space="preserve">K8 LPG 3.5 (일반판매용) </t>
  </si>
  <si>
    <t>KGM</t>
  </si>
  <si>
    <t>렉스턴 뉴 아레나</t>
  </si>
  <si>
    <t>255/60R18</t>
  </si>
  <si>
    <t>디젤 2.2 5인승</t>
    <phoneticPr fontId="5" type="noConversion"/>
  </si>
  <si>
    <t>디젤 2.2 7인승</t>
    <phoneticPr fontId="5" type="noConversion"/>
  </si>
  <si>
    <t>2WD</t>
    <phoneticPr fontId="5" type="noConversion"/>
  </si>
  <si>
    <t>4WD</t>
    <phoneticPr fontId="5" type="noConversion"/>
  </si>
  <si>
    <t>렉스턴 뉴 아레나 디젤 2.2 5인승 2WD</t>
  </si>
  <si>
    <t>렉스턴 뉴 아레나 디젤 2.2 5인승 4WD</t>
  </si>
  <si>
    <t>렉스턴 뉴 아레나 디젤 2.2 7인승 2WD</t>
  </si>
  <si>
    <t>렉스턴 뉴 아레나 디젤 2.2 7인승 4WD</t>
  </si>
  <si>
    <t>□ 보험 기준 정보</t>
    <phoneticPr fontId="59" type="noConversion"/>
  </si>
  <si>
    <t>만 26세</t>
    <phoneticPr fontId="11" type="noConversion"/>
  </si>
  <si>
    <t>만 21세</t>
    <phoneticPr fontId="11" type="noConversion"/>
  </si>
  <si>
    <t>다인승 9,10인</t>
    <phoneticPr fontId="59" type="noConversion"/>
  </si>
  <si>
    <t>분담금 할증한증특약</t>
    <phoneticPr fontId="5" type="noConversion"/>
  </si>
  <si>
    <t>자손</t>
    <phoneticPr fontId="5" type="noConversion"/>
  </si>
  <si>
    <t>만 26세(개인사업자)-임직원</t>
    <phoneticPr fontId="11" type="noConversion"/>
  </si>
  <si>
    <t>만 21세(개인사업자)-임직원</t>
    <phoneticPr fontId="11" type="noConversion"/>
  </si>
  <si>
    <t>만 21세(법인)-임직원</t>
    <phoneticPr fontId="11" type="noConversion"/>
  </si>
  <si>
    <t>KB손해보험</t>
    <phoneticPr fontId="5" type="noConversion"/>
  </si>
  <si>
    <t>DB동부화재 - 전기차</t>
    <phoneticPr fontId="5" type="noConversion"/>
  </si>
  <si>
    <t xml:space="preserve"> 공제조합</t>
    <phoneticPr fontId="5" type="noConversion"/>
  </si>
  <si>
    <t>KB손보</t>
  </si>
  <si>
    <t>KB손보</t>
    <phoneticPr fontId="5" type="noConversion"/>
  </si>
  <si>
    <t>DB손해(전기)</t>
  </si>
  <si>
    <t>반영 테이블</t>
    <phoneticPr fontId="5" type="noConversion"/>
  </si>
  <si>
    <t>실제 테이블</t>
    <phoneticPr fontId="5" type="noConversion"/>
  </si>
  <si>
    <t>EV3</t>
  </si>
  <si>
    <t>GT-line</t>
  </si>
  <si>
    <t>215/50R19</t>
  </si>
  <si>
    <t>전기 롱레인지</t>
  </si>
  <si>
    <t>EV3</t>
    <phoneticPr fontId="5" type="noConversion"/>
  </si>
  <si>
    <t>전기 스탠다드</t>
    <phoneticPr fontId="5" type="noConversion"/>
  </si>
  <si>
    <t>전기 롱레인지</t>
    <phoneticPr fontId="5" type="noConversion"/>
  </si>
  <si>
    <t xml:space="preserve">EV3 전기 스탠다드 </t>
  </si>
  <si>
    <t>EV3 전기 스탠다드 GT-line</t>
  </si>
  <si>
    <t xml:space="preserve">EV3 전기 롱레인지 </t>
  </si>
  <si>
    <t>EV3 전기 롱레인지 GT-line</t>
  </si>
  <si>
    <t>더 뉴 EV6</t>
  </si>
  <si>
    <t>4WD</t>
  </si>
  <si>
    <t>GT-line 2WD</t>
  </si>
  <si>
    <t>GT-line 4WD</t>
  </si>
  <si>
    <t>EV6</t>
    <phoneticPr fontId="5" type="noConversion"/>
  </si>
  <si>
    <t>더 뉴 EV6 전기 롱레인지 2WD</t>
  </si>
  <si>
    <t>더 뉴 EV6 전기 롱레인지 4WD</t>
  </si>
  <si>
    <t>더 뉴 EV6 전기 롱레인지 GT-line 2WD</t>
  </si>
  <si>
    <t>더 뉴 EV6 전기 롱레인지 GT-line 4WD</t>
  </si>
  <si>
    <t>더 뉴 아이오닉 5</t>
  </si>
  <si>
    <t>더 뉴 아이오닉 5 전기 롱레인지 2WD</t>
  </si>
  <si>
    <t>더 뉴 아이오닉 5 전기 롱레인지 4WD</t>
  </si>
  <si>
    <t>가솔린 터보 2.5</t>
    <phoneticPr fontId="5" type="noConversion"/>
  </si>
  <si>
    <t>가솔린 터보 3.5</t>
    <phoneticPr fontId="5" type="noConversion"/>
  </si>
  <si>
    <t>코란도 EV</t>
  </si>
  <si>
    <t>TOR</t>
    <phoneticPr fontId="5" type="noConversion"/>
  </si>
  <si>
    <t>전기</t>
    <phoneticPr fontId="5" type="noConversion"/>
  </si>
  <si>
    <t>토레스</t>
    <phoneticPr fontId="5" type="noConversion"/>
  </si>
  <si>
    <t>HL홀딩스</t>
    <phoneticPr fontId="5" type="noConversion"/>
  </si>
  <si>
    <t>■ 전기차/HL</t>
    <phoneticPr fontId="5" type="noConversion"/>
  </si>
  <si>
    <t>■ 일반차/HL</t>
    <phoneticPr fontId="5" type="noConversion"/>
  </si>
  <si>
    <t>등록대행비</t>
    <phoneticPr fontId="5" type="noConversion"/>
  </si>
  <si>
    <t>번호판대금</t>
    <phoneticPr fontId="5" type="noConversion"/>
  </si>
  <si>
    <t>증지대</t>
    <phoneticPr fontId="5" type="noConversion"/>
  </si>
  <si>
    <t>보조번호판</t>
    <phoneticPr fontId="5" type="noConversion"/>
  </si>
  <si>
    <t>세차비</t>
    <phoneticPr fontId="5" type="noConversion"/>
  </si>
  <si>
    <t>블랙박스</t>
    <phoneticPr fontId="5" type="noConversion"/>
  </si>
  <si>
    <t>블랙박스(고급)</t>
    <phoneticPr fontId="5" type="noConversion"/>
  </si>
  <si>
    <t>썬팅(일반)_측후면</t>
    <phoneticPr fontId="5" type="noConversion"/>
  </si>
  <si>
    <t>썬팅(일반)_전면</t>
    <phoneticPr fontId="5" type="noConversion"/>
  </si>
  <si>
    <t>썬팅(고급)_측후면</t>
    <phoneticPr fontId="5" type="noConversion"/>
  </si>
  <si>
    <t>썬팅(고급)_전면</t>
    <phoneticPr fontId="5" type="noConversion"/>
  </si>
  <si>
    <t>전기차</t>
    <phoneticPr fontId="5" type="noConversion"/>
  </si>
  <si>
    <t>제조사</t>
    <phoneticPr fontId="5" type="noConversion"/>
  </si>
  <si>
    <t>외주/복합</t>
    <phoneticPr fontId="5" type="noConversion"/>
  </si>
  <si>
    <t>일반차</t>
    <phoneticPr fontId="5" type="noConversion"/>
  </si>
  <si>
    <t>만도 FX1000</t>
    <phoneticPr fontId="5" type="noConversion"/>
  </si>
  <si>
    <t>만도 QX1000</t>
    <phoneticPr fontId="5" type="noConversion"/>
  </si>
  <si>
    <t>루마GG</t>
    <phoneticPr fontId="5" type="noConversion"/>
  </si>
  <si>
    <t>버텍스 300</t>
    <phoneticPr fontId="5" type="noConversion"/>
  </si>
  <si>
    <t>HL홀딩스</t>
    <phoneticPr fontId="5" type="noConversion"/>
  </si>
  <si>
    <t>■ HL홀딩스</t>
    <phoneticPr fontId="5" type="noConversion"/>
  </si>
  <si>
    <t>■ 2차 복합탁송</t>
  </si>
  <si>
    <t>■ 탁송업체 구분 Code (24. 06 ~ )</t>
    <phoneticPr fontId="5" type="noConversion"/>
  </si>
  <si>
    <t>K3,K5,K8
쏘렌토/모하비</t>
    <phoneticPr fontId="11" type="noConversion"/>
  </si>
  <si>
    <t>탁송사</t>
    <phoneticPr fontId="5" type="noConversion"/>
  </si>
  <si>
    <t xml:space="preserve">코란도 EV 전기 </t>
  </si>
  <si>
    <t>—————————◆디 올 뉴 그랜저◆————————————</t>
    <phoneticPr fontId="5" type="noConversion"/>
  </si>
  <si>
    <t>디 올 뉴 그랜저</t>
  </si>
  <si>
    <t>가솔린 터보 1.6 하이브리드</t>
  </si>
  <si>
    <t>225/55R18</t>
  </si>
  <si>
    <t>가솔린 2.5</t>
  </si>
  <si>
    <t>LPG 3.5 (일반판매용)</t>
  </si>
  <si>
    <t xml:space="preserve">디 올 뉴 그랜저 가솔린 터보 1.6 하이브리드 </t>
  </si>
  <si>
    <t xml:space="preserve">디 올 뉴 그랜저 가솔린 2.5 </t>
  </si>
  <si>
    <t xml:space="preserve">디 올 뉴 그랜저 가솔린 3.5 </t>
  </si>
  <si>
    <t xml:space="preserve">디 올 뉴 그랜저 LPG 3.5 (일반판매용) </t>
  </si>
  <si>
    <t>유림로지텍</t>
  </si>
  <si>
    <t>HL홀딩스</t>
  </si>
  <si>
    <t>A6</t>
    <phoneticPr fontId="5" type="noConversion"/>
  </si>
  <si>
    <t>A5</t>
    <phoneticPr fontId="5" type="noConversion"/>
  </si>
  <si>
    <t>A7</t>
    <phoneticPr fontId="5" type="noConversion"/>
  </si>
  <si>
    <t>A4</t>
    <phoneticPr fontId="5" type="noConversion"/>
  </si>
  <si>
    <t>A2</t>
    <phoneticPr fontId="5" type="noConversion"/>
  </si>
  <si>
    <t>A</t>
    <phoneticPr fontId="5" type="noConversion"/>
  </si>
  <si>
    <t>C</t>
    <phoneticPr fontId="5" type="noConversion"/>
  </si>
  <si>
    <t>I</t>
    <phoneticPr fontId="5" type="noConversion"/>
  </si>
  <si>
    <t>O</t>
    <phoneticPr fontId="5" type="noConversion"/>
  </si>
  <si>
    <t>Q</t>
    <phoneticPr fontId="5" type="noConversion"/>
  </si>
  <si>
    <t>썬팅(제조사쿠폰)</t>
  </si>
  <si>
    <t>A11</t>
  </si>
  <si>
    <t>A10</t>
  </si>
  <si>
    <t>A8</t>
  </si>
  <si>
    <t>A8</t>
    <phoneticPr fontId="5" type="noConversion"/>
  </si>
  <si>
    <t>V</t>
  </si>
  <si>
    <t>W</t>
  </si>
  <si>
    <t>X</t>
  </si>
  <si>
    <t>Z</t>
  </si>
  <si>
    <t>Z1</t>
  </si>
  <si>
    <t>A9</t>
  </si>
  <si>
    <t>A7</t>
  </si>
  <si>
    <t>A6</t>
  </si>
  <si>
    <t>A5</t>
  </si>
  <si>
    <t>A4</t>
  </si>
  <si>
    <t>A3</t>
  </si>
  <si>
    <t>A2</t>
  </si>
  <si>
    <t>A1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</si>
  <si>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</si>
  <si>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</si>
  <si>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</si>
  <si>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</si>
  <si>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</si>
  <si>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</si>
  <si>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</si>
  <si>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</si>
  <si>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</si>
  <si>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</si>
  <si>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</si>
  <si>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</si>
  <si>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</si>
  <si>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</si>
  <si>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</si>
  <si>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</si>
  <si>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</si>
  <si>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</si>
  <si>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</si>
  <si>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</si>
  <si>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아반떼 HYB, N,
투싼 HYB</t>
    <phoneticPr fontId="5" type="noConversion"/>
  </si>
  <si>
    <t>아반떼 1.6, N
투싼 가솔린</t>
    <phoneticPr fontId="5" type="noConversion"/>
  </si>
  <si>
    <t>싼타페 2.5, HYB
투싼 N (G,HYB)</t>
    <phoneticPr fontId="5" type="noConversion"/>
  </si>
  <si>
    <t>스타리아 리무진
캐스퍼 밴</t>
    <phoneticPr fontId="5" type="noConversion"/>
  </si>
  <si>
    <t>그랜저 LPG,
아반떼 LPG,
쏘나타 LPG,
투싼(D), N
코나(전부), N,
팰리세이드(G,D)</t>
    <phoneticPr fontId="5" type="noConversion"/>
  </si>
  <si>
    <t>베뉴</t>
    <phoneticPr fontId="5" type="noConversion"/>
  </si>
  <si>
    <t>넥쏘</t>
    <phoneticPr fontId="5" type="noConversion"/>
  </si>
  <si>
    <t>G70 3.3, 슈팅B
G90 블랙</t>
    <phoneticPr fontId="5" type="noConversion"/>
  </si>
  <si>
    <t>그랜저 3.5
스타리아 7,9,11
D/HYB/L
GV70 (D)</t>
    <phoneticPr fontId="5" type="noConversion"/>
  </si>
  <si>
    <t>G80 3.5,
GV70 3.5,
GV80 3.5(쿠페)</t>
    <phoneticPr fontId="5" type="noConversion"/>
  </si>
  <si>
    <t>쏘나타 N, 캐스퍼
G70 2.5,G90 3.5코나EV
아이오닉5,5N,6
GV60,70,G80
EV</t>
    <phoneticPr fontId="5" type="noConversion"/>
  </si>
  <si>
    <t>K3 1.6 5도어</t>
    <phoneticPr fontId="5" type="noConversion"/>
  </si>
  <si>
    <t>카니발하이리무진(H/7,9)
카니발하이리무진(D,9), K5(L)</t>
    <phoneticPr fontId="5" type="noConversion"/>
  </si>
  <si>
    <t>K9 3.3</t>
    <phoneticPr fontId="5" type="noConversion"/>
  </si>
  <si>
    <t>카니발하이리무진(G/4), K9 3.8</t>
    <phoneticPr fontId="5" type="noConversion"/>
  </si>
  <si>
    <t>레이</t>
    <phoneticPr fontId="5" type="noConversion"/>
  </si>
  <si>
    <t>스포티지(D)
카니발(G),
카니발(D,9), 
K5(G), 니로(H)</t>
    <phoneticPr fontId="5" type="noConversion"/>
  </si>
  <si>
    <t>레이 밴,모닝(G)</t>
    <phoneticPr fontId="5" type="noConversion"/>
  </si>
  <si>
    <t>카니발하이리무진(H/4), 모닝 밴</t>
    <phoneticPr fontId="5" type="noConversion"/>
  </si>
  <si>
    <t>카니발하이리무진(G/7,9),
K8 3.5, 모하비</t>
    <phoneticPr fontId="5" type="noConversion"/>
  </si>
  <si>
    <t>EV3</t>
    <phoneticPr fontId="5" type="noConversion"/>
  </si>
  <si>
    <t>EV3 GT</t>
    <phoneticPr fontId="5" type="noConversion"/>
  </si>
  <si>
    <t>EV6</t>
    <phoneticPr fontId="5" type="noConversion"/>
  </si>
  <si>
    <t>EV6 GT</t>
    <phoneticPr fontId="5" type="noConversion"/>
  </si>
  <si>
    <t>EV9, 레이EV</t>
    <phoneticPr fontId="5" type="noConversion"/>
  </si>
  <si>
    <t>니로EV(플러스)</t>
    <phoneticPr fontId="5" type="noConversion"/>
  </si>
  <si>
    <t>타호</t>
    <phoneticPr fontId="5" type="noConversion"/>
  </si>
  <si>
    <t>아르카나(G,H),
QM6 (G,L)</t>
    <phoneticPr fontId="5" type="noConversion"/>
  </si>
  <si>
    <t>SM6(G,L)</t>
    <phoneticPr fontId="5" type="noConversion"/>
  </si>
  <si>
    <t>트랙스, 트래버스,
트레일블레이저,
토레스LPG,
티볼리에어,렉스턴,
코란도</t>
    <phoneticPr fontId="5" type="noConversion"/>
  </si>
  <si>
    <t>토레스EVX</t>
    <phoneticPr fontId="5" type="noConversion"/>
  </si>
  <si>
    <t>A7</t>
    <phoneticPr fontId="5" type="noConversion"/>
  </si>
  <si>
    <t>A2</t>
    <phoneticPr fontId="5" type="noConversion"/>
  </si>
  <si>
    <t>A4</t>
    <phoneticPr fontId="5" type="noConversion"/>
  </si>
  <si>
    <t>A8</t>
    <phoneticPr fontId="5" type="noConversion"/>
  </si>
  <si>
    <t>A6</t>
    <phoneticPr fontId="5" type="noConversion"/>
  </si>
  <si>
    <t>A</t>
    <phoneticPr fontId="5" type="noConversion"/>
  </si>
  <si>
    <t>A1</t>
    <phoneticPr fontId="5" type="noConversion"/>
  </si>
  <si>
    <t>E</t>
    <phoneticPr fontId="5" type="noConversion"/>
  </si>
  <si>
    <t>G</t>
    <phoneticPr fontId="5" type="noConversion"/>
  </si>
  <si>
    <t>I</t>
    <phoneticPr fontId="5" type="noConversion"/>
  </si>
  <si>
    <t>C</t>
    <phoneticPr fontId="5" type="noConversion"/>
  </si>
  <si>
    <t>L</t>
    <phoneticPr fontId="5" type="noConversion"/>
  </si>
  <si>
    <t>D</t>
    <phoneticPr fontId="5" type="noConversion"/>
  </si>
  <si>
    <t>A3</t>
    <phoneticPr fontId="5" type="noConversion"/>
  </si>
  <si>
    <t>A</t>
    <phoneticPr fontId="5" type="noConversion"/>
  </si>
  <si>
    <t>A8</t>
    <phoneticPr fontId="5" type="noConversion"/>
  </si>
  <si>
    <t>A4</t>
    <phoneticPr fontId="5" type="noConversion"/>
  </si>
  <si>
    <t>N</t>
    <phoneticPr fontId="5" type="noConversion"/>
  </si>
  <si>
    <t>H</t>
    <phoneticPr fontId="5" type="noConversion"/>
  </si>
  <si>
    <t>L</t>
    <phoneticPr fontId="5" type="noConversion"/>
  </si>
  <si>
    <t>A2</t>
    <phoneticPr fontId="5" type="noConversion"/>
  </si>
  <si>
    <t>A10</t>
    <phoneticPr fontId="5" type="noConversion"/>
  </si>
  <si>
    <t>A6</t>
    <phoneticPr fontId="5" type="noConversion"/>
  </si>
  <si>
    <t>E</t>
    <phoneticPr fontId="5" type="noConversion"/>
  </si>
  <si>
    <t>G</t>
    <phoneticPr fontId="5" type="noConversion"/>
  </si>
  <si>
    <t>C</t>
    <phoneticPr fontId="5" type="noConversion"/>
  </si>
  <si>
    <t>D</t>
    <phoneticPr fontId="5" type="noConversion"/>
  </si>
  <si>
    <t>미운영</t>
    <phoneticPr fontId="5" type="noConversion"/>
  </si>
  <si>
    <t>스타리아 HEV</t>
    <phoneticPr fontId="5" type="noConversion"/>
  </si>
  <si>
    <t>넥쏘</t>
    <phoneticPr fontId="5" type="noConversion"/>
  </si>
  <si>
    <t>레이 EV, EV9</t>
    <phoneticPr fontId="5" type="noConversion"/>
  </si>
  <si>
    <t>EV6 GT</t>
    <phoneticPr fontId="5" type="noConversion"/>
  </si>
  <si>
    <t>EV6</t>
    <phoneticPr fontId="5" type="noConversion"/>
  </si>
  <si>
    <t>스타리아 리무진, 캐스퍼(밴), eG80</t>
    <phoneticPr fontId="5" type="noConversion"/>
  </si>
  <si>
    <t xml:space="preserve">타호 </t>
    <phoneticPr fontId="5" type="noConversion"/>
  </si>
  <si>
    <t>G90 Black</t>
    <phoneticPr fontId="5" type="noConversion"/>
  </si>
  <si>
    <t>말리부, 트래버스, 트레일블레이저,
티볼리에어</t>
    <phoneticPr fontId="5" type="noConversion"/>
  </si>
  <si>
    <t>아르카나, QM6, 티볼리, 렉스턴</t>
    <phoneticPr fontId="5" type="noConversion"/>
  </si>
  <si>
    <t>K9 3.3</t>
    <phoneticPr fontId="5" type="noConversion"/>
  </si>
  <si>
    <t>K8(H)</t>
    <phoneticPr fontId="5" type="noConversion"/>
  </si>
  <si>
    <t>트랙스</t>
    <phoneticPr fontId="5" type="noConversion"/>
  </si>
  <si>
    <t>쏘나타N, 코나N, G70 SB, 그랜저(L), GV60</t>
    <phoneticPr fontId="5" type="noConversion"/>
  </si>
  <si>
    <t>베뉴, 코나(G,H), 스타리아(7,9,11)</t>
    <phoneticPr fontId="5" type="noConversion"/>
  </si>
  <si>
    <t>K3(G), K5(G), 셀토스</t>
    <phoneticPr fontId="5" type="noConversion"/>
  </si>
  <si>
    <t>K3 5도어, K5(H), K8(L)</t>
    <phoneticPr fontId="5" type="noConversion"/>
  </si>
  <si>
    <t>K5(L)</t>
    <phoneticPr fontId="5" type="noConversion"/>
  </si>
  <si>
    <t>K8 3.5(G)</t>
    <phoneticPr fontId="5" type="noConversion"/>
  </si>
  <si>
    <t>K8 2.5(G), 스포티지(D)</t>
    <phoneticPr fontId="5" type="noConversion"/>
  </si>
  <si>
    <t>레이, 카니발 11인승</t>
    <phoneticPr fontId="5" type="noConversion"/>
  </si>
  <si>
    <t xml:space="preserve">스포티지(G,L), 니로(H) </t>
    <phoneticPr fontId="5" type="noConversion"/>
  </si>
  <si>
    <t>모닝(G), 레이(밴)</t>
    <phoneticPr fontId="5" type="noConversion"/>
  </si>
  <si>
    <t>모닝밴, K9 3.8</t>
    <phoneticPr fontId="5" type="noConversion"/>
  </si>
  <si>
    <t>니로EV, 니로플러스EV</t>
    <phoneticPr fontId="5" type="noConversion"/>
  </si>
  <si>
    <t>SM6(L), QM6(L)</t>
    <phoneticPr fontId="5" type="noConversion"/>
  </si>
  <si>
    <t>코란도(G), 이쿼녹스</t>
    <phoneticPr fontId="5" type="noConversion"/>
  </si>
  <si>
    <t>코란도EV, 볼트EV</t>
    <phoneticPr fontId="5" type="noConversion"/>
  </si>
  <si>
    <t>토레스EVX</t>
    <phoneticPr fontId="5" type="noConversion"/>
  </si>
  <si>
    <t>F</t>
    <phoneticPr fontId="5" type="noConversion"/>
  </si>
  <si>
    <t>I</t>
    <phoneticPr fontId="5" type="noConversion"/>
  </si>
  <si>
    <t>A9</t>
    <phoneticPr fontId="5" type="noConversion"/>
  </si>
  <si>
    <t>A1</t>
    <phoneticPr fontId="5" type="noConversion"/>
  </si>
  <si>
    <t>M</t>
    <phoneticPr fontId="5" type="noConversion"/>
  </si>
  <si>
    <t>K</t>
    <phoneticPr fontId="5" type="noConversion"/>
  </si>
  <si>
    <t>U</t>
    <phoneticPr fontId="5" type="noConversion"/>
  </si>
  <si>
    <t>O</t>
    <phoneticPr fontId="5" type="noConversion"/>
  </si>
  <si>
    <t>B</t>
    <phoneticPr fontId="5" type="noConversion"/>
  </si>
  <si>
    <t>R</t>
    <phoneticPr fontId="5" type="noConversion"/>
  </si>
  <si>
    <t>J</t>
    <phoneticPr fontId="5" type="noConversion"/>
  </si>
  <si>
    <t>S</t>
    <phoneticPr fontId="5" type="noConversion"/>
  </si>
  <si>
    <t>Z</t>
    <phoneticPr fontId="5" type="noConversion"/>
  </si>
  <si>
    <t>X</t>
    <phoneticPr fontId="5" type="noConversion"/>
  </si>
  <si>
    <t>T</t>
    <phoneticPr fontId="5" type="noConversion"/>
  </si>
  <si>
    <t>W</t>
    <phoneticPr fontId="5" type="noConversion"/>
  </si>
  <si>
    <t>일반잔가순번</t>
    <phoneticPr fontId="5" type="noConversion"/>
  </si>
  <si>
    <t>잔가군</t>
  </si>
  <si>
    <t>E</t>
    <phoneticPr fontId="5" type="noConversion"/>
  </si>
  <si>
    <t>KG모빌리티</t>
    <phoneticPr fontId="5" type="noConversion"/>
  </si>
  <si>
    <t>그랑 콜레오스</t>
  </si>
  <si>
    <t>GRK</t>
  </si>
  <si>
    <t>가솔린 1.5 하이브리드</t>
  </si>
  <si>
    <t>가솔린 터보 2.0</t>
  </si>
  <si>
    <t xml:space="preserve">그랑 콜레오스 가솔린 터보 2.0 </t>
  </si>
  <si>
    <t>——————————◆그랑 콜레오스◆—————————</t>
    <phoneticPr fontId="5" type="noConversion"/>
  </si>
  <si>
    <t xml:space="preserve">그랑 콜레오스 가솔린 1.5 하이브리드 </t>
    <phoneticPr fontId="5" type="noConversion"/>
  </si>
  <si>
    <t>———————————◆아르카나◆————————————————</t>
    <phoneticPr fontId="5" type="noConversion"/>
  </si>
  <si>
    <t>캐스퍼 일렉트릭</t>
  </si>
  <si>
    <t>전기</t>
    <phoneticPr fontId="5" type="noConversion"/>
  </si>
  <si>
    <t>07:광주</t>
    <phoneticPr fontId="5" type="noConversion"/>
  </si>
  <si>
    <t>CSP</t>
    <phoneticPr fontId="5" type="noConversion"/>
  </si>
  <si>
    <t xml:space="preserve">캐스퍼 일렉트릭 전기 </t>
  </si>
  <si>
    <t>유림로지스</t>
    <phoneticPr fontId="5" type="noConversion"/>
  </si>
  <si>
    <t>썬루프 썬팅</t>
    <phoneticPr fontId="5" type="noConversion"/>
  </si>
  <si>
    <t>듀얼/파노라마 썬팅</t>
    <phoneticPr fontId="5" type="noConversion"/>
  </si>
  <si>
    <t>루마LT</t>
    <phoneticPr fontId="5" type="noConversion"/>
  </si>
  <si>
    <t>파츠</t>
    <phoneticPr fontId="5" type="noConversion"/>
  </si>
  <si>
    <t>A</t>
    <phoneticPr fontId="5" type="noConversion"/>
  </si>
  <si>
    <t>그랑콜레오스(G,H)</t>
    <phoneticPr fontId="5" type="noConversion"/>
  </si>
  <si>
    <t>E</t>
    <phoneticPr fontId="5" type="noConversion"/>
  </si>
  <si>
    <t>그랑콜레오스(G/H)</t>
    <phoneticPr fontId="5" type="noConversion"/>
  </si>
  <si>
    <t>G90 LWB
캐스퍼EV</t>
    <phoneticPr fontId="5" type="noConversion"/>
  </si>
  <si>
    <t>O</t>
    <phoneticPr fontId="5" type="noConversion"/>
  </si>
  <si>
    <r>
      <t xml:space="preserve">G90 5.0, </t>
    </r>
    <r>
      <rPr>
        <sz val="14"/>
        <color rgb="FF0000CC"/>
        <rFont val="원신한 Light"/>
        <family val="3"/>
        <charset val="129"/>
      </rPr>
      <t>스타리아LPG, 코나EV, 아이오닉5,N,6,캐스퍼EV</t>
    </r>
    <phoneticPr fontId="5" type="noConversion"/>
  </si>
  <si>
    <t>S</t>
    <phoneticPr fontId="5" type="noConversion"/>
  </si>
  <si>
    <t>남양/신갈/시흥 외주탁송1,2차 합계</t>
    <phoneticPr fontId="5" type="noConversion"/>
  </si>
  <si>
    <t>덕평 외주탁송1,2차 합계</t>
    <phoneticPr fontId="5" type="noConversion"/>
  </si>
  <si>
    <t>충주(파츠) 2차</t>
    <phoneticPr fontId="5" type="noConversion"/>
  </si>
  <si>
    <t>칠곡(파츠) 2차</t>
    <phoneticPr fontId="5" type="noConversion"/>
  </si>
  <si>
    <t xml:space="preserve">G80 (선구매) 가솔린 터보 2.5 </t>
  </si>
  <si>
    <t>이동배차탁송</t>
    <phoneticPr fontId="5" type="noConversion"/>
  </si>
  <si>
    <t>파츠탁송료</t>
    <phoneticPr fontId="5" type="noConversion"/>
  </si>
  <si>
    <t>제조사탁송료</t>
    <phoneticPr fontId="5" type="noConversion"/>
  </si>
  <si>
    <t>파츠탁송료</t>
    <phoneticPr fontId="5" type="noConversion"/>
  </si>
  <si>
    <t>▣ 파츠 탁송 신설</t>
    <phoneticPr fontId="5" type="noConversion"/>
  </si>
  <si>
    <r>
      <t xml:space="preserve"> - 본사출고 시 파츠작업 있는 경우 </t>
    </r>
    <r>
      <rPr>
        <b/>
        <sz val="13"/>
        <color rgb="FF0000CC"/>
        <rFont val="원신한 Light"/>
        <family val="3"/>
        <charset val="129"/>
      </rPr>
      <t>파츠탁송</t>
    </r>
    <r>
      <rPr>
        <sz val="13"/>
        <rFont val="원신한 Light"/>
        <family val="3"/>
        <charset val="129"/>
      </rPr>
      <t xml:space="preserve"> 선택</t>
    </r>
    <phoneticPr fontId="5" type="noConversion"/>
  </si>
  <si>
    <t>캐스퍼, eGV70</t>
    <phoneticPr fontId="5" type="noConversion"/>
  </si>
  <si>
    <r>
      <t xml:space="preserve">그랜저D, </t>
    </r>
    <r>
      <rPr>
        <sz val="14"/>
        <color rgb="FFFF0000"/>
        <rFont val="원신한 Light"/>
        <family val="3"/>
        <charset val="129"/>
      </rPr>
      <t>G90 3.5</t>
    </r>
    <r>
      <rPr>
        <sz val="14"/>
        <rFont val="원신한 Light"/>
        <family val="3"/>
        <charset val="129"/>
      </rPr>
      <t xml:space="preserve">, 싼타페 디젤, </t>
    </r>
    <phoneticPr fontId="5" type="noConversion"/>
  </si>
  <si>
    <t>GV70 2.2(D)</t>
    <phoneticPr fontId="5" type="noConversion"/>
  </si>
  <si>
    <t>GV70 3.5, GV80 2.2, 투싼N(G,H)</t>
    <phoneticPr fontId="5" type="noConversion"/>
  </si>
  <si>
    <t xml:space="preserve">GV80 3.5 </t>
    <phoneticPr fontId="5" type="noConversion"/>
  </si>
  <si>
    <t>E</t>
    <phoneticPr fontId="5" type="noConversion"/>
  </si>
  <si>
    <t>A11</t>
    <phoneticPr fontId="5" type="noConversion"/>
  </si>
  <si>
    <t>모하비,  EV3</t>
    <phoneticPr fontId="5" type="noConversion"/>
  </si>
  <si>
    <t>쏘렌토(H)</t>
    <phoneticPr fontId="5" type="noConversion"/>
  </si>
  <si>
    <t>카니발(D/7,9), 쏘렌토(G)</t>
    <phoneticPr fontId="5" type="noConversion"/>
  </si>
  <si>
    <t>쏘렌토(D)</t>
    <phoneticPr fontId="5" type="noConversion"/>
  </si>
  <si>
    <t>A11</t>
    <phoneticPr fontId="5" type="noConversion"/>
  </si>
  <si>
    <t>K8 2.5</t>
    <phoneticPr fontId="5" type="noConversion"/>
  </si>
  <si>
    <t>스포티지(H)
쏘렌토(H)</t>
    <phoneticPr fontId="5" type="noConversion"/>
  </si>
  <si>
    <r>
      <rPr>
        <sz val="14"/>
        <color rgb="FFFF0000"/>
        <rFont val="원신한 Light"/>
        <family val="3"/>
        <charset val="129"/>
      </rPr>
      <t>쏘렌토(D),</t>
    </r>
    <r>
      <rPr>
        <sz val="14"/>
        <color theme="1"/>
        <rFont val="원신한 Light"/>
        <family val="3"/>
        <charset val="129"/>
      </rPr>
      <t xml:space="preserve">
카니발(D,7),
K3 1.6</t>
    </r>
    <phoneticPr fontId="5" type="noConversion"/>
  </si>
  <si>
    <r>
      <rPr>
        <sz val="14"/>
        <color rgb="FFFF0000"/>
        <rFont val="원신한 Light"/>
        <family val="3"/>
        <charset val="129"/>
      </rPr>
      <t>셀토스(G),</t>
    </r>
    <r>
      <rPr>
        <sz val="14"/>
        <color theme="1"/>
        <rFont val="원신한 Light"/>
        <family val="3"/>
        <charset val="129"/>
      </rPr>
      <t xml:space="preserve">
스포티지(G,L),
카니발(H),
K8(H)</t>
    </r>
    <phoneticPr fontId="5" type="noConversion"/>
  </si>
  <si>
    <t>쏘렌토(G)</t>
    <phoneticPr fontId="5" type="noConversion"/>
  </si>
  <si>
    <r>
      <rPr>
        <sz val="14"/>
        <color rgb="FFFF0000"/>
        <rFont val="원신한 Light"/>
        <family val="3"/>
        <charset val="129"/>
      </rPr>
      <t>카니발(G/7,9)</t>
    </r>
    <r>
      <rPr>
        <sz val="14"/>
        <color theme="1"/>
        <rFont val="원신한 Light"/>
        <family val="3"/>
        <charset val="129"/>
      </rPr>
      <t xml:space="preserve">, </t>
    </r>
    <phoneticPr fontId="5" type="noConversion"/>
  </si>
  <si>
    <t>카니발(H/7,9)</t>
    <phoneticPr fontId="5" type="noConversion"/>
  </si>
  <si>
    <t xml:space="preserve">   ex) 본사출고 신갈센터 시 복합탁송 선택 제조사탁송료 입력</t>
    <phoneticPr fontId="5" type="noConversion"/>
  </si>
  <si>
    <t>액티언</t>
  </si>
  <si>
    <t>NAC</t>
  </si>
  <si>
    <t>가솔린 터보 1.5</t>
    <phoneticPr fontId="5" type="noConversion"/>
  </si>
  <si>
    <t>가솔린 1.6 하이브리드</t>
    <phoneticPr fontId="5" type="noConversion"/>
  </si>
  <si>
    <t>니로 EV</t>
  </si>
  <si>
    <t>전기</t>
    <phoneticPr fontId="5" type="noConversion"/>
  </si>
  <si>
    <t>LPG 3.5 (렌터카)</t>
    <phoneticPr fontId="5" type="noConversion"/>
  </si>
  <si>
    <t>K8</t>
    <phoneticPr fontId="5" type="noConversion"/>
  </si>
  <si>
    <t>——————————◆액티언◆—————————————</t>
    <phoneticPr fontId="5" type="noConversion"/>
  </si>
  <si>
    <t>액티언 가솔린 터보 1.5 2WD</t>
  </si>
  <si>
    <t>액티언 가솔린 터보 1.5 AWD</t>
  </si>
  <si>
    <t xml:space="preserve">니로 EV 전기 </t>
  </si>
  <si>
    <t>토레스, 티볼리, 액티언</t>
    <phoneticPr fontId="5" type="noConversion"/>
  </si>
  <si>
    <t>D</t>
    <phoneticPr fontId="5" type="noConversion"/>
  </si>
  <si>
    <r>
      <t xml:space="preserve">스포티지(H), </t>
    </r>
    <r>
      <rPr>
        <sz val="14"/>
        <color rgb="FFFF0000"/>
        <rFont val="원신한 Light"/>
        <family val="3"/>
        <charset val="129"/>
      </rPr>
      <t>카니발 하이리무진</t>
    </r>
    <phoneticPr fontId="5" type="noConversion"/>
  </si>
  <si>
    <t xml:space="preserve"> </t>
    <phoneticPr fontId="5" type="noConversion"/>
  </si>
  <si>
    <t>다져녀할인대상</t>
    <phoneticPr fontId="5" type="noConversion"/>
  </si>
  <si>
    <t xml:space="preserve"> 본사출고 + 파츠작업</t>
    <phoneticPr fontId="5" type="noConversion"/>
  </si>
  <si>
    <t xml:space="preserve"> 적용 방법</t>
    <phoneticPr fontId="5" type="noConversion"/>
  </si>
  <si>
    <t>액티언</t>
    <phoneticPr fontId="5" type="noConversion"/>
  </si>
  <si>
    <t>A8</t>
    <phoneticPr fontId="5" type="noConversion"/>
  </si>
  <si>
    <t xml:space="preserve"> - 증빙서류 : 다둥이카드 OR 가족관계증명원 OR 주민등록등본</t>
    <phoneticPr fontId="5" type="noConversion"/>
  </si>
  <si>
    <r>
      <t xml:space="preserve"> - 다자녀 </t>
    </r>
    <r>
      <rPr>
        <b/>
        <sz val="13"/>
        <rFont val="원신한 Light"/>
        <family val="3"/>
        <charset val="129"/>
      </rPr>
      <t xml:space="preserve">(19세 미만 자녀 2명 이상) 고객 </t>
    </r>
    <r>
      <rPr>
        <sz val="13"/>
        <rFont val="원신한 Light"/>
        <family val="3"/>
        <charset val="129"/>
      </rPr>
      <t>대상 보험 할인 제공</t>
    </r>
    <phoneticPr fontId="5" type="noConversion"/>
  </si>
  <si>
    <r>
      <t xml:space="preserve"> - </t>
    </r>
    <r>
      <rPr>
        <sz val="13"/>
        <color rgb="FFFF0000"/>
        <rFont val="원신한 Light"/>
        <family val="3"/>
        <charset val="129"/>
      </rPr>
      <t>추가운전자 등록 시 운전자등록신청서 인쇄 후 고객님께 작성 요청 및 수령</t>
    </r>
    <phoneticPr fontId="5" type="noConversion"/>
  </si>
  <si>
    <r>
      <t xml:space="preserve"> - </t>
    </r>
    <r>
      <rPr>
        <sz val="13"/>
        <color rgb="FFFF0000"/>
        <rFont val="원신한 Light"/>
        <family val="3"/>
        <charset val="129"/>
      </rPr>
      <t>법인</t>
    </r>
    <r>
      <rPr>
        <sz val="13"/>
        <rFont val="원신한 Light"/>
        <family val="3"/>
        <charset val="129"/>
      </rPr>
      <t xml:space="preserve">업무용자동차 </t>
    </r>
    <r>
      <rPr>
        <sz val="13"/>
        <color rgb="FFFF0000"/>
        <rFont val="원신한 Light"/>
        <family val="3"/>
        <charset val="129"/>
      </rPr>
      <t>번호판 발급 대상</t>
    </r>
    <r>
      <rPr>
        <sz val="13"/>
        <rFont val="원신한 Light"/>
        <family val="3"/>
        <charset val="129"/>
      </rPr>
      <t xml:space="preserve"> 고객 </t>
    </r>
    <r>
      <rPr>
        <sz val="13"/>
        <color rgb="FFFF0000"/>
        <rFont val="원신한 Light"/>
        <family val="3"/>
        <charset val="129"/>
      </rPr>
      <t>안내문 시트 추가</t>
    </r>
    <phoneticPr fontId="5" type="noConversion"/>
  </si>
  <si>
    <r>
      <t xml:space="preserve"> - 시트 내 </t>
    </r>
    <r>
      <rPr>
        <sz val="13"/>
        <color rgb="FFFF0000"/>
        <rFont val="원신한 Light"/>
        <family val="3"/>
        <charset val="129"/>
      </rPr>
      <t>안내문 2부 인쇄 후 고객님께 1부 지급, 당사로 1부 제출</t>
    </r>
    <r>
      <rPr>
        <sz val="13"/>
        <rFont val="원신한 Light"/>
        <family val="3"/>
        <charset val="129"/>
      </rPr>
      <t xml:space="preserve"> 부탁드립니다.</t>
    </r>
    <phoneticPr fontId="5" type="noConversion"/>
  </si>
  <si>
    <r>
      <t xml:space="preserve"> - 본사출고면서 </t>
    </r>
    <r>
      <rPr>
        <b/>
        <sz val="13"/>
        <rFont val="원신한 Light"/>
        <family val="3"/>
        <charset val="129"/>
      </rPr>
      <t>출고센터가 공장과 다른경우</t>
    </r>
    <r>
      <rPr>
        <sz val="13"/>
        <rFont val="원신한 Light"/>
        <family val="3"/>
        <charset val="129"/>
      </rPr>
      <t xml:space="preserve"> </t>
    </r>
    <r>
      <rPr>
        <sz val="13"/>
        <color rgb="FF0000FF"/>
        <rFont val="원신한 Light"/>
        <family val="3"/>
        <charset val="129"/>
      </rPr>
      <t>복합탁송</t>
    </r>
    <r>
      <rPr>
        <sz val="13"/>
        <rFont val="원신한 Light"/>
        <family val="3"/>
        <charset val="129"/>
      </rPr>
      <t xml:space="preserve"> 선택</t>
    </r>
    <phoneticPr fontId="5" type="noConversion"/>
  </si>
  <si>
    <r>
      <t xml:space="preserve"> - 다자녀할인 드롭박스에서 </t>
    </r>
    <r>
      <rPr>
        <b/>
        <sz val="13"/>
        <color rgb="FFFF0000"/>
        <rFont val="원신한 Light"/>
        <family val="3"/>
        <charset val="129"/>
      </rPr>
      <t>다자녀할인 Y</t>
    </r>
    <r>
      <rPr>
        <sz val="13"/>
        <rFont val="원신한 Light"/>
        <family val="3"/>
        <charset val="129"/>
      </rPr>
      <t xml:space="preserve"> 선택</t>
    </r>
    <phoneticPr fontId="5" type="noConversion"/>
  </si>
  <si>
    <t>다자녀할인
증빙서류 필요</t>
    <phoneticPr fontId="5" type="noConversion"/>
  </si>
  <si>
    <t>E</t>
    <phoneticPr fontId="5" type="noConversion"/>
  </si>
  <si>
    <t>GV80 (선구매) 가솔린 터보 2.5 AWD 5인승</t>
  </si>
  <si>
    <t>개인사업자 +
임직원Y불가</t>
    <phoneticPr fontId="5" type="noConversion"/>
  </si>
  <si>
    <r>
      <t>▣ 다자녀 할인 특약 (</t>
    </r>
    <r>
      <rPr>
        <b/>
        <u/>
        <sz val="13"/>
        <color rgb="FFFF0000"/>
        <rFont val="원신한 Light"/>
        <family val="3"/>
        <charset val="129"/>
      </rPr>
      <t>개인/개인사업자 가능</t>
    </r>
    <r>
      <rPr>
        <b/>
        <sz val="13"/>
        <color rgb="FFFF0000"/>
        <rFont val="원신한 Light"/>
        <family val="3"/>
        <charset val="129"/>
      </rPr>
      <t>/ 일부 차종 대상)</t>
    </r>
    <phoneticPr fontId="5" type="noConversion"/>
  </si>
  <si>
    <t>——————————◆G80◆—————————————</t>
    <phoneticPr fontId="5" type="noConversion"/>
  </si>
  <si>
    <t>——————————◆GV70◆—————————————</t>
    <phoneticPr fontId="5" type="noConversion"/>
  </si>
  <si>
    <t>—————————◆신형 싼타페◆———————————————</t>
    <phoneticPr fontId="5" type="noConversion"/>
  </si>
  <si>
    <t>——————————◆GV80◆—————————————</t>
    <phoneticPr fontId="5" type="noConversion"/>
  </si>
  <si>
    <t>——————————◆투싼◆———————————————</t>
    <phoneticPr fontId="5" type="noConversion"/>
  </si>
  <si>
    <t>————————◆디 올 뉴 그랜저◆————————————</t>
    <phoneticPr fontId="5" type="noConversion"/>
  </si>
  <si>
    <t>——————————◆쏘나타◆———————————————</t>
    <phoneticPr fontId="5" type="noConversion"/>
  </si>
  <si>
    <t>——————————◆아반떼◆———————————————</t>
    <phoneticPr fontId="5" type="noConversion"/>
  </si>
  <si>
    <t>——————————◆K8◆—————————————</t>
  </si>
  <si>
    <t>——————————◆셀토스◆————————————————</t>
  </si>
  <si>
    <t>——————————◆스포티지◆————————————————</t>
  </si>
  <si>
    <t>——————————◆쏘렌토◆——————————————</t>
  </si>
  <si>
    <t>——————————◆카니발◆—————————————</t>
  </si>
  <si>
    <r>
      <rPr>
        <sz val="14"/>
        <color rgb="FFFF0000"/>
        <rFont val="원신한 Light"/>
        <family val="3"/>
        <charset val="129"/>
      </rPr>
      <t>투싼(G)</t>
    </r>
    <r>
      <rPr>
        <sz val="14"/>
        <color theme="1"/>
        <rFont val="원신한 Light"/>
        <family val="3"/>
        <charset val="129"/>
      </rPr>
      <t xml:space="preserve">, </t>
    </r>
    <r>
      <rPr>
        <sz val="14"/>
        <color rgb="FFFF0000"/>
        <rFont val="원신한 Light"/>
        <family val="3"/>
        <charset val="129"/>
      </rPr>
      <t>싼타페(G), 싼타페(H),</t>
    </r>
    <r>
      <rPr>
        <sz val="14"/>
        <color theme="1"/>
        <rFont val="원신한 Light"/>
        <family val="3"/>
        <charset val="129"/>
      </rPr>
      <t xml:space="preserve"> </t>
    </r>
    <r>
      <rPr>
        <sz val="14"/>
        <color rgb="FFFF0000"/>
        <rFont val="원신한 Light"/>
        <family val="3"/>
        <charset val="129"/>
      </rPr>
      <t>아반떼(H), 그랜저H
G70 2.5, GV80 2.5</t>
    </r>
    <phoneticPr fontId="5" type="noConversion"/>
  </si>
  <si>
    <t>그랜저3.5</t>
    <phoneticPr fontId="5" type="noConversion"/>
  </si>
  <si>
    <t xml:space="preserve">쏘나타(2.0G), 쏘나타(H), GV70 2.5 </t>
    <phoneticPr fontId="5" type="noConversion"/>
  </si>
  <si>
    <t>G80 2.5</t>
    <phoneticPr fontId="5" type="noConversion"/>
  </si>
  <si>
    <t>GV80 쿠페 3.5</t>
    <phoneticPr fontId="5" type="noConversion"/>
  </si>
  <si>
    <t>아반떼(L), G70 3.3, GV80 쿠페 3.5 MHEV, G80 3.5</t>
    <phoneticPr fontId="5" type="noConversion"/>
  </si>
  <si>
    <t>GV80</t>
  </si>
  <si>
    <t>265/40R22</t>
  </si>
  <si>
    <t>BLACK AWD (6인승)</t>
  </si>
  <si>
    <t>BLACK AWD (7인승)</t>
  </si>
  <si>
    <t>BLACK AWD (5인승) Coupe</t>
  </si>
  <si>
    <t>V:전기+가솔린 겸용</t>
    <phoneticPr fontId="5" type="noConversion"/>
  </si>
  <si>
    <t>쿠페 가솔린 터보 3.5</t>
    <phoneticPr fontId="5" type="noConversion"/>
  </si>
  <si>
    <t>쿠페 가솔린 터보 3.5-48V 일렉트릭 슈퍼차저</t>
    <phoneticPr fontId="5" type="noConversion"/>
  </si>
  <si>
    <t>F</t>
    <phoneticPr fontId="5" type="noConversion"/>
  </si>
  <si>
    <t>GV80 가솔린 터보 3.5 BLACK AWD (5인승)</t>
  </si>
  <si>
    <t>GV80 가솔린 터보 3.5 BLACK AWD (6인승)</t>
  </si>
  <si>
    <t>GV80 가솔린 터보 3.5 BLACK AWD (7인승)</t>
  </si>
  <si>
    <t>GV80 쿠페 가솔린 터보 3.5 BLACK AWD (5인승) Coupe</t>
  </si>
  <si>
    <t>GV80 쿠페 가솔린 터보 3.5-48V 일렉트릭 슈퍼차저 BLACK AWD (5인승) Coupe</t>
  </si>
  <si>
    <t>A4</t>
    <phoneticPr fontId="5" type="noConversion"/>
  </si>
  <si>
    <t>G</t>
    <phoneticPr fontId="5" type="noConversion"/>
  </si>
  <si>
    <r>
      <rPr>
        <sz val="14"/>
        <color rgb="FFFF0000"/>
        <rFont val="원신한 Light"/>
        <family val="3"/>
        <charset val="129"/>
      </rPr>
      <t>쏘나타(1.6G)</t>
    </r>
    <r>
      <rPr>
        <sz val="14"/>
        <color theme="1"/>
        <rFont val="원신한 Light"/>
        <family val="3"/>
        <charset val="129"/>
      </rPr>
      <t>,</t>
    </r>
    <r>
      <rPr>
        <sz val="14"/>
        <color rgb="FFFF0000"/>
        <rFont val="원신한 Light"/>
        <family val="3"/>
        <charset val="129"/>
      </rPr>
      <t xml:space="preserve"> 투싼(D)</t>
    </r>
    <r>
      <rPr>
        <sz val="14"/>
        <color theme="1"/>
        <rFont val="원신한 Light"/>
        <family val="3"/>
        <charset val="129"/>
      </rPr>
      <t xml:space="preserve">, </t>
    </r>
    <r>
      <rPr>
        <sz val="14"/>
        <color rgb="FFFF0000"/>
        <rFont val="원신한 Light"/>
        <family val="3"/>
        <charset val="129"/>
      </rPr>
      <t>팰리세이드(D),</t>
    </r>
    <r>
      <rPr>
        <sz val="14"/>
        <color theme="1"/>
        <rFont val="원신한 Light"/>
        <family val="3"/>
        <charset val="129"/>
      </rPr>
      <t xml:space="preserve"> </t>
    </r>
    <r>
      <rPr>
        <sz val="14"/>
        <color rgb="FF0000FF"/>
        <rFont val="원신한 Light"/>
        <family val="3"/>
        <charset val="129"/>
      </rPr>
      <t>GV80 쿠페 2.5
GV80 3.5 Black</t>
    </r>
    <phoneticPr fontId="5" type="noConversion"/>
  </si>
  <si>
    <t>쏘나타(L), 투싼N(D), GV80 쿠페 3.5 Black</t>
    <phoneticPr fontId="5" type="noConversion"/>
  </si>
  <si>
    <t>GV80 쿠페 3.5 MHEV Black</t>
    <phoneticPr fontId="5" type="noConversion"/>
  </si>
  <si>
    <t>가솔린 터보 2.5</t>
    <phoneticPr fontId="5" type="noConversion"/>
  </si>
  <si>
    <t>쿠페 가솔린 터보 2.5</t>
    <phoneticPr fontId="5" type="noConversion"/>
  </si>
  <si>
    <t>GV80 가솔린 터보 2.5 BLACK AWD (5인승)</t>
  </si>
  <si>
    <t>GV80 가솔린 터보 2.5 BLACK AWD (6인승)</t>
  </si>
  <si>
    <t>GV80 가솔린 터보 2.5 BLACK AWD (7인승)</t>
  </si>
  <si>
    <t>GV80 쿠페 가솔린 터보 2.5 BLACK AWD (5인승) Coupe</t>
  </si>
  <si>
    <t>——————◆선구매◆—————————————</t>
  </si>
  <si>
    <t>A6</t>
    <phoneticPr fontId="5" type="noConversion"/>
  </si>
  <si>
    <t>A1</t>
    <phoneticPr fontId="5" type="noConversion"/>
  </si>
  <si>
    <t>A4</t>
    <phoneticPr fontId="5" type="noConversion"/>
  </si>
  <si>
    <t>등급</t>
    <phoneticPr fontId="11" type="noConversion"/>
  </si>
  <si>
    <t xml:space="preserve">제품명(유림) </t>
    <phoneticPr fontId="11" type="noConversion"/>
  </si>
  <si>
    <t xml:space="preserve">유림 단가 </t>
    <phoneticPr fontId="11" type="noConversion"/>
  </si>
  <si>
    <t>제품명(HL)</t>
    <phoneticPr fontId="11" type="noConversion"/>
  </si>
  <si>
    <t>HL 단가</t>
    <phoneticPr fontId="11" type="noConversion"/>
  </si>
  <si>
    <t>측후면</t>
    <phoneticPr fontId="11" type="noConversion"/>
  </si>
  <si>
    <t>기본</t>
    <phoneticPr fontId="11" type="noConversion"/>
  </si>
  <si>
    <t>루마_GG</t>
    <phoneticPr fontId="11" type="noConversion"/>
  </si>
  <si>
    <t>중급</t>
    <phoneticPr fontId="11" type="noConversion"/>
  </si>
  <si>
    <t>루마_버텍스300</t>
    <phoneticPr fontId="11" type="noConversion"/>
  </si>
  <si>
    <t>루마_버텍스500</t>
    <phoneticPr fontId="11" type="noConversion"/>
  </si>
  <si>
    <t>상급</t>
  </si>
  <si>
    <t>루마_버텍스700</t>
    <phoneticPr fontId="11" type="noConversion"/>
  </si>
  <si>
    <t>브이쿨_K</t>
    <phoneticPr fontId="11" type="noConversion"/>
  </si>
  <si>
    <t>루마_버텍스900</t>
    <phoneticPr fontId="11" type="noConversion"/>
  </si>
  <si>
    <t>루마_메버릭(MK_반사)</t>
    <phoneticPr fontId="11" type="noConversion"/>
  </si>
  <si>
    <t>루마_메버릭(MK_반사)</t>
  </si>
  <si>
    <t>전면</t>
    <phoneticPr fontId="11" type="noConversion"/>
  </si>
  <si>
    <t>썬루프
(듀얼/
파노라마)</t>
    <phoneticPr fontId="11" type="noConversion"/>
  </si>
  <si>
    <t>블랙박스</t>
    <phoneticPr fontId="11" type="noConversion"/>
  </si>
  <si>
    <t>아이나비_V3000</t>
    <phoneticPr fontId="11" type="noConversion"/>
  </si>
  <si>
    <t>아이나비_Z9000</t>
    <phoneticPr fontId="11" type="noConversion"/>
  </si>
  <si>
    <t>상급</t>
    <phoneticPr fontId="11" type="noConversion"/>
  </si>
  <si>
    <t>아이나비_QXD8000</t>
    <phoneticPr fontId="11" type="noConversion"/>
  </si>
  <si>
    <t>지넷_M3</t>
    <phoneticPr fontId="11" type="noConversion"/>
  </si>
  <si>
    <t>지넷_M3+페달캠(3채널)</t>
    <phoneticPr fontId="11" type="noConversion"/>
  </si>
  <si>
    <t>지넷_M7</t>
    <phoneticPr fontId="11" type="noConversion"/>
  </si>
  <si>
    <t>지넷_M7+페달캠(3채널)</t>
    <phoneticPr fontId="11" type="noConversion"/>
  </si>
  <si>
    <t>파인뷰_GX5</t>
    <phoneticPr fontId="11" type="noConversion"/>
  </si>
  <si>
    <t>기타</t>
    <phoneticPr fontId="11" type="noConversion"/>
  </si>
  <si>
    <t>네비(거치)_아이나비_LS2000</t>
    <phoneticPr fontId="11" type="noConversion"/>
  </si>
  <si>
    <t>네비(거치)+후방카메라_아이나비_LS2000</t>
    <phoneticPr fontId="11" type="noConversion"/>
  </si>
  <si>
    <t>하이패스_엠피온_SET550</t>
    <phoneticPr fontId="11" type="noConversion"/>
  </si>
  <si>
    <t>유리막_파이어볼_승용</t>
    <phoneticPr fontId="11" type="noConversion"/>
  </si>
  <si>
    <t>유리막_파이어볼_SUV</t>
    <phoneticPr fontId="11" type="noConversion"/>
  </si>
  <si>
    <t>썬루프썬팅</t>
    <phoneticPr fontId="5" type="noConversion"/>
  </si>
  <si>
    <t>썬루프일반</t>
    <phoneticPr fontId="5" type="noConversion"/>
  </si>
  <si>
    <t>측후면썽팅</t>
    <phoneticPr fontId="5" type="noConversion"/>
  </si>
  <si>
    <t>기타용품2</t>
    <phoneticPr fontId="5" type="noConversion"/>
  </si>
  <si>
    <t>기타용품1</t>
    <phoneticPr fontId="5" type="noConversion"/>
  </si>
  <si>
    <t>기타품목1</t>
    <phoneticPr fontId="5" type="noConversion"/>
  </si>
  <si>
    <t>기타품목2</t>
    <phoneticPr fontId="5" type="noConversion"/>
  </si>
  <si>
    <t>썬루프
_일반</t>
    <phoneticPr fontId="11" type="noConversion"/>
  </si>
  <si>
    <t xml:space="preserve">     - 고가의 썬팅 작업 시 썬팅 필름 마르는 시간이 필요하므로 인도일정 조율 시 1일 정도 더 감안해주시기 바랍니다.</t>
    <phoneticPr fontId="5" type="noConversion"/>
  </si>
  <si>
    <t>PPF_도어엣지+도어컵+주유구</t>
  </si>
  <si>
    <t>코일매트_1+2열</t>
  </si>
  <si>
    <t>하이패스_AP350S(IR)</t>
  </si>
  <si>
    <t>하이패스_AP100S(RF)</t>
  </si>
  <si>
    <t>유리막_파이어볼_승용</t>
  </si>
  <si>
    <t>유리막_파이어볼_SUV</t>
  </si>
  <si>
    <t>코일매트_1+2+3열(카니발)</t>
  </si>
  <si>
    <t>기본</t>
  </si>
  <si>
    <t>만도_FX1000</t>
  </si>
  <si>
    <t>중급</t>
  </si>
  <si>
    <t>만도_PX1000</t>
  </si>
  <si>
    <t>만도_Z1000+패달캠</t>
  </si>
  <si>
    <t>만도_QP80LCD</t>
  </si>
  <si>
    <t xml:space="preserve"> </t>
    <phoneticPr fontId="5" type="noConversion"/>
  </si>
  <si>
    <t>일반_루마_GG</t>
    <phoneticPr fontId="11" type="noConversion"/>
  </si>
  <si>
    <t>일반_루마_버텍스300</t>
    <phoneticPr fontId="11" type="noConversion"/>
  </si>
  <si>
    <t>일반_루마_버텍스500</t>
    <phoneticPr fontId="11" type="noConversion"/>
  </si>
  <si>
    <t>일반_루마_버텍스900</t>
    <phoneticPr fontId="11" type="noConversion"/>
  </si>
  <si>
    <t>일반_브이쿨_K</t>
    <phoneticPr fontId="11" type="noConversion"/>
  </si>
  <si>
    <t>일반_루마_메버릭(MK_반사)</t>
    <phoneticPr fontId="5" type="noConversion"/>
  </si>
  <si>
    <t>듀얼/파노_브이쿨_K</t>
    <phoneticPr fontId="11" type="noConversion"/>
  </si>
  <si>
    <t>일반_루마_버텍스700</t>
    <phoneticPr fontId="11" type="noConversion"/>
  </si>
  <si>
    <t>일반_루마_메버릭(MK_반사)</t>
    <phoneticPr fontId="11" type="noConversion"/>
  </si>
  <si>
    <t>루마_GG(현대,기아,르노)</t>
    <phoneticPr fontId="11" type="noConversion"/>
  </si>
  <si>
    <t>루마_GG(KGM,쉐보레)</t>
    <phoneticPr fontId="11" type="noConversion"/>
  </si>
  <si>
    <t>듀얼/파노_GG</t>
    <phoneticPr fontId="11" type="noConversion"/>
  </si>
  <si>
    <t>듀얼/파노_버텍스300</t>
    <phoneticPr fontId="11" type="noConversion"/>
  </si>
  <si>
    <t>듀얼/파노_버텍스500</t>
    <phoneticPr fontId="11" type="noConversion"/>
  </si>
  <si>
    <t>듀얼/파노_버텍스700</t>
    <phoneticPr fontId="11" type="noConversion"/>
  </si>
  <si>
    <t>듀얼/파노_버텍스900</t>
    <phoneticPr fontId="11" type="noConversion"/>
  </si>
  <si>
    <t>듀얼/파노_메버릭(MK_반사)</t>
    <phoneticPr fontId="11" type="noConversion"/>
  </si>
  <si>
    <t>듀얼/파노_메버릭(MK_반사)</t>
    <phoneticPr fontId="5" type="noConversion"/>
  </si>
  <si>
    <t xml:space="preserve">    - IRR 전월 동일</t>
    <phoneticPr fontId="5" type="noConversion"/>
  </si>
  <si>
    <t xml:space="preserve">     - 코일매트는 차량 스펙에 맞게 재단 후 택배로 발송됩니다. 차량인도지와 택배수령지가 다를 경우 메모에 기재해주세요 </t>
    <phoneticPr fontId="5" type="noConversion"/>
  </si>
  <si>
    <t>`</t>
    <phoneticPr fontId="5" type="noConversion"/>
  </si>
  <si>
    <r>
      <t xml:space="preserve">2. 프로모션 </t>
    </r>
    <r>
      <rPr>
        <sz val="13"/>
        <color theme="1"/>
        <rFont val="원신한 Light"/>
        <family val="3"/>
        <charset val="129"/>
      </rPr>
      <t/>
    </r>
    <phoneticPr fontId="5" type="noConversion"/>
  </si>
  <si>
    <t>【'25년 1월 운영조건】</t>
    <phoneticPr fontId="5" type="noConversion"/>
  </si>
  <si>
    <t>개별소비세 3.5%</t>
    <phoneticPr fontId="5" type="noConversion"/>
  </si>
  <si>
    <t>4. '25년 개별소비세 변경 안내 ('25.1.3 적용)</t>
    <phoneticPr fontId="5" type="noConversion"/>
  </si>
  <si>
    <t>AT27*3.731%</t>
    <phoneticPr fontId="5" type="noConversion"/>
  </si>
  <si>
    <t>디 올 뉴 팰리세이드</t>
  </si>
  <si>
    <t>2025년형 가솔린 터보 2.5 (9인승)</t>
  </si>
  <si>
    <t>2025년형 가솔린 터보 2.5 (7인승)</t>
  </si>
  <si>
    <t>2025년형 가솔린 터보 2.5 하이브리드 (9인승)</t>
  </si>
  <si>
    <t>2025년형 가솔린 터보 2.5 하이브리드 (7인승)</t>
  </si>
  <si>
    <t>V:전기+가솔린 겸용(할인미정)</t>
    <phoneticPr fontId="5" type="noConversion"/>
  </si>
  <si>
    <t>디 올 뉴 팰리세이드 2025년형 가솔린 터보 2.5 (9인승) 2WD</t>
  </si>
  <si>
    <t>디 올 뉴 팰리세이드 2025년형 가솔린 터보 2.5 (9인승) 4WD</t>
  </si>
  <si>
    <t>디 올 뉴 팰리세이드 2025년형 가솔린 터보 2.5 (7인승) 2WD</t>
  </si>
  <si>
    <t>디 올 뉴 팰리세이드 2025년형 가솔린 터보 2.5 (7인승) 4WD</t>
  </si>
  <si>
    <t>디 올 뉴 팰리세이드 2025년형 가솔린 터보 2.5 하이브리드 (9인승) 2WD</t>
  </si>
  <si>
    <t>디 올 뉴 팰리세이드 2025년형 가솔린 터보 2.5 하이브리드 (9인승) 4WD</t>
  </si>
  <si>
    <t>디 올 뉴 팰리세이드 2025년형 가솔린 터보 2.5 하이브리드 (7인승) 2WD</t>
  </si>
  <si>
    <t>디 올 뉴 팰리세이드 2025년형 가솔린 터보 2.5 하이브리드 (7인승) 4WD</t>
  </si>
  <si>
    <t>개소세 2.87%</t>
    <phoneticPr fontId="5" type="noConversion"/>
  </si>
  <si>
    <r>
      <t xml:space="preserve">   ○ 기존 5% (국산차 감면 18% 반영 시 4.1%</t>
    </r>
    <r>
      <rPr>
        <b/>
        <u/>
        <sz val="11"/>
        <color theme="1"/>
        <rFont val="원신한 Light"/>
        <family val="3"/>
        <charset val="129"/>
      </rPr>
      <t>)</t>
    </r>
    <r>
      <rPr>
        <b/>
        <sz val="11"/>
        <color theme="1"/>
        <rFont val="원신한 Light"/>
        <family val="3"/>
        <charset val="129"/>
      </rPr>
      <t xml:space="preserve"> &gt;&gt; 변경 </t>
    </r>
    <r>
      <rPr>
        <b/>
        <u/>
        <sz val="11"/>
        <color rgb="FFFF0000"/>
        <rFont val="원신한 Light"/>
        <family val="3"/>
        <charset val="129"/>
      </rPr>
      <t>3.5%</t>
    </r>
    <r>
      <rPr>
        <b/>
        <sz val="11"/>
        <color theme="1"/>
        <rFont val="원신한 Light"/>
        <family val="3"/>
        <charset val="129"/>
      </rPr>
      <t xml:space="preserve"> (국산차 감면 18% 반영 시 </t>
    </r>
    <r>
      <rPr>
        <b/>
        <u/>
        <sz val="11"/>
        <color rgb="FFFF0000"/>
        <rFont val="원신한 Light"/>
        <family val="3"/>
        <charset val="129"/>
      </rPr>
      <t>2.87</t>
    </r>
    <r>
      <rPr>
        <b/>
        <sz val="11"/>
        <color theme="1"/>
        <rFont val="원신한 Light"/>
        <family val="3"/>
        <charset val="129"/>
      </rPr>
      <t>%)</t>
    </r>
    <phoneticPr fontId="5" type="noConversion"/>
  </si>
  <si>
    <t>투싼(H), 팰리세이드(H,9)</t>
    <phoneticPr fontId="5" type="noConversion"/>
  </si>
  <si>
    <r>
      <rPr>
        <sz val="14"/>
        <color rgb="FFFF0000"/>
        <rFont val="원신한 Light"/>
        <family val="3"/>
        <charset val="129"/>
      </rPr>
      <t>아반떼(G)</t>
    </r>
    <r>
      <rPr>
        <sz val="14"/>
        <color theme="1"/>
        <rFont val="원신한 Light"/>
        <family val="3"/>
        <charset val="129"/>
      </rPr>
      <t xml:space="preserve">,  </t>
    </r>
    <r>
      <rPr>
        <sz val="14"/>
        <color rgb="FF0000FF"/>
        <rFont val="원신한 Light"/>
        <family val="3"/>
        <charset val="129"/>
      </rPr>
      <t>팰리세이드(G), 팰리세이드(H,7)</t>
    </r>
    <r>
      <rPr>
        <sz val="14"/>
        <color rgb="FFFF0000"/>
        <rFont val="원신한 Light"/>
        <family val="3"/>
        <charset val="129"/>
      </rPr>
      <t>, 그랜저 2.5</t>
    </r>
    <phoneticPr fontId="5" type="noConversion"/>
  </si>
  <si>
    <t>팰리세이드(G)</t>
  </si>
  <si>
    <t>★★★★차량가는 개별소비세 : 5.0%기준을 입력하세요★★★★</t>
    <phoneticPr fontId="5" type="noConversion"/>
  </si>
  <si>
    <t>('24년 선구매) 가솔린 1.6</t>
    <phoneticPr fontId="5" type="noConversion"/>
  </si>
  <si>
    <t>('24년 선구매) 가솔린 2.0 하이브리드</t>
  </si>
  <si>
    <t>('24년 선구매) 가솔린 2.5</t>
  </si>
  <si>
    <t>('24년 선구매) 가솔린 터보 1.6 하이브리드</t>
  </si>
  <si>
    <t>('24년 선구매) 가솔린 터보 1.6 하이브리드 2WD</t>
  </si>
  <si>
    <t>('24년 선구매) 가솔린 터보 2.5</t>
  </si>
  <si>
    <t>('24년 선구매) 가솔린 터보 2.5 AWD</t>
  </si>
  <si>
    <t>('24년 선구매) 가솔린 터보 1.5</t>
  </si>
  <si>
    <t>(선구매) 가솔린 터보 1.6 하이브리드</t>
    <phoneticPr fontId="5" type="noConversion"/>
  </si>
  <si>
    <t xml:space="preserve">아반떼 ('24년 선구매) 가솔린 1.6 </t>
  </si>
  <si>
    <t xml:space="preserve">쏘나타 ('24년 선구매) 가솔린 2.0 하이브리드 </t>
  </si>
  <si>
    <t xml:space="preserve">디 올 뉴 그랜저 ('24년 선구매) 가솔린 2.5 </t>
  </si>
  <si>
    <t xml:space="preserve">투싼 ('24년 선구매) 가솔린 터보 1.6 하이브리드 </t>
  </si>
  <si>
    <t xml:space="preserve">K8 ('24년 선구매) 가솔린 터보 1.6 하이브리드 </t>
  </si>
  <si>
    <t>더 뉴 쏘렌토 ('24년 선구매) 가솔린 터보 1.6 하이브리드 2WD 5인승</t>
  </si>
  <si>
    <t xml:space="preserve">스포티지 ('24년 선구매) 가솔린 터보 1.6 하이브리드 2WD </t>
  </si>
  <si>
    <t>싼타페 ('24년 선구매) 가솔린 터보 1.6 하이브리드 2WD 5인승</t>
  </si>
  <si>
    <t>싼타페 ('24년 선구매) 가솔린 터보 1.6 하이브리드 2WD 6인승</t>
  </si>
  <si>
    <t xml:space="preserve">GV70 ('24년 선구매) 가솔린 터보 2.5 </t>
  </si>
  <si>
    <t>GV80 ('24년 선구매) 가솔린 터보 2.5 AWD 5인승</t>
  </si>
  <si>
    <t xml:space="preserve">G80 ('24년 선구매) 가솔린 터보 2.5 </t>
  </si>
  <si>
    <t>액티언 ('24년 선구매) 가솔린 터보 1.5 2WD</t>
  </si>
  <si>
    <t>IF(AX60&gt;=1300000,AX58-1300000,AX57)</t>
    <phoneticPr fontId="5" type="noConversion"/>
  </si>
  <si>
    <r>
      <t xml:space="preserve">   ○</t>
    </r>
    <r>
      <rPr>
        <b/>
        <sz val="11"/>
        <color rgb="FF0000CC"/>
        <rFont val="원신한 Light"/>
        <family val="3"/>
        <charset val="129"/>
      </rPr>
      <t xml:space="preserve"> </t>
    </r>
    <r>
      <rPr>
        <b/>
        <sz val="11"/>
        <color theme="1"/>
        <rFont val="원신한 Light"/>
        <family val="3"/>
        <charset val="129"/>
      </rPr>
      <t xml:space="preserve">차량 소비자가 입력 시 </t>
    </r>
    <r>
      <rPr>
        <b/>
        <sz val="11"/>
        <color rgb="FF0000FF"/>
        <rFont val="원신한 Light"/>
        <family val="3"/>
        <charset val="129"/>
      </rPr>
      <t>현대/기아/KGM/르노</t>
    </r>
    <r>
      <rPr>
        <b/>
        <sz val="11"/>
        <color theme="1"/>
        <rFont val="원신한 Light"/>
        <family val="3"/>
        <charset val="129"/>
      </rPr>
      <t xml:space="preserve"> </t>
    </r>
    <r>
      <rPr>
        <b/>
        <u/>
        <sz val="11"/>
        <color rgb="FFFF0000"/>
        <rFont val="원신한 Light"/>
        <family val="3"/>
        <charset val="129"/>
      </rPr>
      <t>개별소비세 5% 금액으로 입력</t>
    </r>
    <r>
      <rPr>
        <b/>
        <sz val="11"/>
        <color theme="1"/>
        <rFont val="원신한 Light"/>
        <family val="3"/>
        <charset val="129"/>
      </rPr>
      <t>해야 함 (제조사 가격표 중에 가장 높은 금액)</t>
    </r>
    <phoneticPr fontId="5" type="noConversion"/>
  </si>
  <si>
    <r>
      <t xml:space="preserve">   ○</t>
    </r>
    <r>
      <rPr>
        <b/>
        <sz val="11"/>
        <color rgb="FF0000CC"/>
        <rFont val="원신한 Light"/>
        <family val="3"/>
        <charset val="129"/>
      </rPr>
      <t xml:space="preserve"> 쉐보레</t>
    </r>
    <r>
      <rPr>
        <b/>
        <sz val="11"/>
        <color rgb="FFFF0000"/>
        <rFont val="원신한 Light"/>
        <family val="3"/>
        <charset val="129"/>
      </rPr>
      <t xml:space="preserve"> 차량은 </t>
    </r>
    <r>
      <rPr>
        <b/>
        <u/>
        <sz val="11"/>
        <color rgb="FF0000FF"/>
        <rFont val="원신한 Light"/>
        <family val="3"/>
        <charset val="129"/>
      </rPr>
      <t>3.5%</t>
    </r>
    <r>
      <rPr>
        <b/>
        <sz val="11"/>
        <color rgb="FFFF0000"/>
        <rFont val="원신한 Light"/>
        <family val="3"/>
        <charset val="129"/>
      </rPr>
      <t xml:space="preserve"> 가격 입력 / 대리점에서 면세가격 받아서 진행 추천(V2)</t>
    </r>
    <phoneticPr fontId="5" type="noConversion"/>
  </si>
  <si>
    <t>5. 기타</t>
    <phoneticPr fontId="5" type="noConversion"/>
  </si>
  <si>
    <t xml:space="preserve">   ○ G80 Black 모델 추가</t>
    <phoneticPr fontId="5" type="noConversion"/>
  </si>
  <si>
    <t>팰리세이드</t>
  </si>
  <si>
    <t>가솔린 3.8 2WD</t>
  </si>
  <si>
    <t>(7인승)</t>
  </si>
  <si>
    <t>245/60R18</t>
  </si>
  <si>
    <t>(8인승)</t>
  </si>
  <si>
    <t>가솔린 3.8 4WD</t>
  </si>
  <si>
    <t>팰리세이드(D,구형)</t>
    <phoneticPr fontId="5" type="noConversion"/>
  </si>
  <si>
    <t>K5(H) ,K8(L)
팰리세이드구형</t>
    <phoneticPr fontId="5" type="noConversion"/>
  </si>
  <si>
    <t>————————◆구형 팰리세이드◆————————————————</t>
    <phoneticPr fontId="5" type="noConversion"/>
  </si>
  <si>
    <t>팰리세이드 가솔린 3.8 2WD (7인승)</t>
  </si>
  <si>
    <t>팰리세이드 가솔린 3.8 2WD (8인승)</t>
  </si>
  <si>
    <t>팰리세이드 가솔린 3.8 4WD (7인승)</t>
  </si>
  <si>
    <t>팰리세이드 가솔린 3.8 4WD (8인승)</t>
  </si>
  <si>
    <t>팰리세이드 디젤 2.2 2WD (7인승)</t>
  </si>
  <si>
    <t>팰리세이드 디젤 2.2 2WD (8인승)</t>
  </si>
  <si>
    <t>팰리세이드 디젤 2.2 4WD (7인승)</t>
  </si>
  <si>
    <t>팰리세이드 디젤 2.2 4WD (8인승)</t>
  </si>
  <si>
    <t>개별소비세율</t>
    <phoneticPr fontId="5" type="noConversion"/>
  </si>
  <si>
    <t>24년</t>
    <phoneticPr fontId="5" type="noConversion"/>
  </si>
  <si>
    <t>25년</t>
    <phoneticPr fontId="5" type="noConversion"/>
  </si>
  <si>
    <t>구매년도</t>
    <phoneticPr fontId="5" type="noConversion"/>
  </si>
  <si>
    <t>렌트IRR 인하 차종</t>
    <phoneticPr fontId="5" type="noConversion"/>
  </si>
  <si>
    <t>구매년도</t>
    <phoneticPr fontId="5" type="noConversion"/>
  </si>
  <si>
    <t>('25년 선구매) 가솔린 터보 1.6 하이브리드</t>
    <phoneticPr fontId="5" type="noConversion"/>
  </si>
  <si>
    <t>('25년 선구매) 가솔린 터보 1.6 2WD</t>
    <phoneticPr fontId="5" type="noConversion"/>
  </si>
  <si>
    <t xml:space="preserve">셀토스 ('25년 선구매) 가솔린 터보 1.6 2WD </t>
    <phoneticPr fontId="5" type="noConversion"/>
  </si>
  <si>
    <t xml:space="preserve">디 올 뉴 그랜저 ('25년 선구매) 가솔린 터보 1.6 하이브리드 </t>
    <phoneticPr fontId="5" type="noConversion"/>
  </si>
  <si>
    <t xml:space="preserve">   ○ 25년 선구매 모델 추가 (셀토스,그랜저(G)) </t>
    <phoneticPr fontId="5" type="noConversion"/>
  </si>
  <si>
    <t>BLACK AWD</t>
  </si>
  <si>
    <t>245/40R20</t>
  </si>
  <si>
    <t>275/35R20</t>
  </si>
  <si>
    <t>가솔린 터보 2.5</t>
    <phoneticPr fontId="5" type="noConversion"/>
  </si>
  <si>
    <t>그랜저 2.5, HYB
쏘나타 G, HYB
G80 2.5(Black), 
GV80 2.5(쿠페),
GV70 2.5</t>
    <phoneticPr fontId="5" type="noConversion"/>
  </si>
  <si>
    <t>아반떼N, 팰리세이드(G,구형), G80 2.5 Black</t>
    <phoneticPr fontId="5" type="noConversion"/>
  </si>
  <si>
    <t>G80 가솔린 터보 2.5 BLACK AWD</t>
  </si>
  <si>
    <t>20250115_V2</t>
    <phoneticPr fontId="5" type="noConversion"/>
  </si>
  <si>
    <t>20250115~20250131</t>
    <phoneticPr fontId="5" type="noConversion"/>
  </si>
  <si>
    <r>
      <t xml:space="preserve">   ○</t>
    </r>
    <r>
      <rPr>
        <b/>
        <sz val="12"/>
        <color theme="1"/>
        <rFont val="원신한 Light"/>
        <family val="3"/>
        <charset val="129"/>
      </rPr>
      <t xml:space="preserve"> 이슈수수료(한시적) : </t>
    </r>
    <r>
      <rPr>
        <b/>
        <sz val="12"/>
        <color rgb="FFFF0000"/>
        <rFont val="원신한 Light"/>
        <family val="3"/>
        <charset val="129"/>
      </rPr>
      <t xml:space="preserve">低인센티브 </t>
    </r>
    <r>
      <rPr>
        <b/>
        <u/>
        <sz val="12"/>
        <color rgb="FF0000FF"/>
        <rFont val="원신한 Light"/>
        <family val="3"/>
        <charset val="129"/>
      </rPr>
      <t>(3% 이하)</t>
    </r>
    <r>
      <rPr>
        <sz val="12"/>
        <color theme="1"/>
        <rFont val="원신한 Light"/>
        <family val="3"/>
        <charset val="129"/>
      </rPr>
      <t xml:space="preserve"> 건 대상 </t>
    </r>
    <r>
      <rPr>
        <b/>
        <u/>
        <sz val="12"/>
        <color rgb="FFFF0000"/>
        <rFont val="원신한 Light"/>
        <family val="3"/>
        <charset val="129"/>
      </rPr>
      <t>추가수수료 0.5%</t>
    </r>
    <r>
      <rPr>
        <sz val="12"/>
        <color theme="1"/>
        <rFont val="원신한 Light"/>
        <family val="3"/>
        <charset val="129"/>
      </rPr>
      <t xml:space="preserve"> 지급 </t>
    </r>
    <r>
      <rPr>
        <b/>
        <sz val="12"/>
        <color theme="1"/>
        <rFont val="원신한 Light"/>
        <family val="3"/>
        <charset val="129"/>
      </rPr>
      <t>[ ~'25.1.31限 ( 대출 실행일 ) ]</t>
    </r>
    <phoneticPr fontId="5" type="noConversion"/>
  </si>
  <si>
    <r>
      <t xml:space="preserve">   ○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sz val="12"/>
        <color theme="1"/>
        <rFont val="원신한 Light"/>
        <family val="3"/>
        <charset val="129"/>
      </rPr>
      <t>선구매 :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sz val="12"/>
        <color theme="1"/>
        <rFont val="원신한 Light"/>
        <family val="3"/>
        <charset val="129"/>
      </rPr>
      <t>K8 하이브리드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u/>
        <sz val="12"/>
        <color rgb="FFFF0000"/>
        <rFont val="원신한 Light"/>
        <family val="3"/>
        <charset val="129"/>
      </rPr>
      <t>50만원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sz val="12"/>
        <color theme="1"/>
        <rFont val="원신한 Light"/>
        <family val="3"/>
        <charset val="129"/>
      </rPr>
      <t xml:space="preserve">지급 </t>
    </r>
    <r>
      <rPr>
        <b/>
        <sz val="12"/>
        <color rgb="FF0000CC"/>
        <rFont val="원신한 Light"/>
        <family val="3"/>
        <charset val="129"/>
      </rPr>
      <t xml:space="preserve">(IRR 0.5% 인하) / </t>
    </r>
    <r>
      <rPr>
        <b/>
        <sz val="12"/>
        <color theme="1"/>
        <rFont val="원신한 Light"/>
        <family val="3"/>
        <charset val="129"/>
      </rPr>
      <t>액티언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u/>
        <sz val="12"/>
        <color rgb="FFFF0000"/>
        <rFont val="원신한 Light"/>
        <family val="3"/>
        <charset val="129"/>
      </rPr>
      <t>50만원</t>
    </r>
    <r>
      <rPr>
        <b/>
        <sz val="12"/>
        <color rgb="FF0000CC"/>
        <rFont val="원신한 Light"/>
        <family val="3"/>
        <charset val="129"/>
      </rPr>
      <t xml:space="preserve"> </t>
    </r>
    <r>
      <rPr>
        <b/>
        <sz val="12"/>
        <color theme="1"/>
        <rFont val="원신한 Light"/>
        <family val="3"/>
        <charset val="129"/>
      </rPr>
      <t xml:space="preserve">지급 </t>
    </r>
    <phoneticPr fontId="5" type="noConversion"/>
  </si>
  <si>
    <r>
      <rPr>
        <sz val="12"/>
        <color theme="1"/>
        <rFont val="원신한 Light"/>
        <family val="3"/>
        <charset val="129"/>
      </rPr>
      <t xml:space="preserve">   ○</t>
    </r>
    <r>
      <rPr>
        <sz val="12"/>
        <color rgb="FF0000FF"/>
        <rFont val="원신한 Light"/>
        <family val="3"/>
        <charset val="129"/>
      </rPr>
      <t xml:space="preserve"> </t>
    </r>
    <r>
      <rPr>
        <b/>
        <sz val="12"/>
        <color rgb="FF0000FF"/>
        <rFont val="원신한 Light"/>
        <family val="3"/>
        <charset val="129"/>
      </rPr>
      <t>K8</t>
    </r>
    <r>
      <rPr>
        <b/>
        <sz val="12"/>
        <color rgb="FFFF0000"/>
        <rFont val="원신한 Light"/>
        <family val="3"/>
        <charset val="129"/>
      </rPr>
      <t xml:space="preserve"> (선구매) 고잔가 취급</t>
    </r>
    <r>
      <rPr>
        <b/>
        <sz val="12"/>
        <color theme="1"/>
        <rFont val="원신한 Light"/>
        <family val="3"/>
        <charset val="129"/>
      </rPr>
      <t xml:space="preserve"> </t>
    </r>
    <r>
      <rPr>
        <sz val="12"/>
        <color theme="1"/>
        <rFont val="원신한 Light"/>
        <family val="3"/>
        <charset val="129"/>
      </rPr>
      <t>한정</t>
    </r>
    <r>
      <rPr>
        <b/>
        <sz val="12"/>
        <color rgb="FFFF0000"/>
        <rFont val="원신한 Light"/>
        <family val="3"/>
        <charset val="129"/>
      </rPr>
      <t xml:space="preserve"> </t>
    </r>
    <r>
      <rPr>
        <sz val="12"/>
        <color theme="1"/>
        <rFont val="원신한 Light"/>
        <family val="3"/>
        <charset val="129"/>
      </rPr>
      <t xml:space="preserve">약정주행거리 </t>
    </r>
    <r>
      <rPr>
        <b/>
        <u/>
        <sz val="12"/>
        <color theme="1"/>
        <rFont val="원신한 Light"/>
        <family val="3"/>
        <charset val="129"/>
      </rPr>
      <t>10,000/20,000Km</t>
    </r>
    <r>
      <rPr>
        <b/>
        <sz val="12"/>
        <color rgb="FFFF0000"/>
        <rFont val="원신한 Light"/>
        <family val="3"/>
        <charset val="129"/>
      </rPr>
      <t xml:space="preserve"> </t>
    </r>
    <r>
      <rPr>
        <b/>
        <sz val="12"/>
        <color rgb="FF0000FF"/>
        <rFont val="원신한 Light"/>
        <family val="3"/>
        <charset val="129"/>
      </rPr>
      <t xml:space="preserve">잔가 1% 상향 </t>
    </r>
    <r>
      <rPr>
        <sz val="12"/>
        <color theme="1"/>
        <rFont val="원신한 Light"/>
        <family val="3"/>
        <charset val="129"/>
      </rPr>
      <t>(반영완료)</t>
    </r>
    <phoneticPr fontId="5" type="noConversion"/>
  </si>
  <si>
    <r>
      <rPr>
        <sz val="12"/>
        <color theme="1"/>
        <rFont val="원신한 Light"/>
        <family val="3"/>
        <charset val="129"/>
      </rPr>
      <t xml:space="preserve">   ○ </t>
    </r>
    <r>
      <rPr>
        <b/>
        <sz val="12"/>
        <color theme="1"/>
        <rFont val="원신한 Light"/>
        <family val="3"/>
        <charset val="129"/>
      </rPr>
      <t>1월 운영조건</t>
    </r>
    <phoneticPr fontId="5" type="noConversion"/>
  </si>
  <si>
    <r>
      <rPr>
        <sz val="12"/>
        <color theme="1"/>
        <rFont val="원신한 Light"/>
        <family val="3"/>
        <charset val="129"/>
      </rPr>
      <t xml:space="preserve">   ○</t>
    </r>
    <r>
      <rPr>
        <b/>
        <sz val="12"/>
        <color rgb="FF0000FF"/>
        <rFont val="원신한 Light"/>
        <family val="3"/>
        <charset val="129"/>
      </rPr>
      <t xml:space="preserve"> </t>
    </r>
    <r>
      <rPr>
        <b/>
        <sz val="12"/>
        <color rgb="FFFF0000"/>
        <rFont val="원신한 Light"/>
        <family val="3"/>
        <charset val="129"/>
      </rPr>
      <t>K5/K8</t>
    </r>
    <r>
      <rPr>
        <b/>
        <sz val="12"/>
        <color rgb="FF0000FF"/>
        <rFont val="원신한 Light"/>
        <family val="3"/>
        <charset val="129"/>
      </rPr>
      <t xml:space="preserve"> 특판출고 </t>
    </r>
    <r>
      <rPr>
        <b/>
        <sz val="12"/>
        <color rgb="FFFF0000"/>
        <rFont val="원신한 Light"/>
        <family val="3"/>
        <charset val="129"/>
      </rPr>
      <t>할인율</t>
    </r>
    <r>
      <rPr>
        <b/>
        <sz val="12"/>
        <color rgb="FF0000FF"/>
        <rFont val="원신한 Light"/>
        <family val="3"/>
        <charset val="129"/>
      </rPr>
      <t xml:space="preserve"> 프로모션 진행 (~1.31 발주限) (</t>
    </r>
    <r>
      <rPr>
        <b/>
        <sz val="12"/>
        <color theme="1"/>
        <rFont val="원신한 Light"/>
        <family val="3"/>
        <charset val="129"/>
      </rPr>
      <t>기존대비</t>
    </r>
    <r>
      <rPr>
        <b/>
        <sz val="12"/>
        <color rgb="FFFF0000"/>
        <rFont val="원신한 Light"/>
        <family val="3"/>
        <charset val="129"/>
      </rPr>
      <t xml:space="preserve"> +2.0%</t>
    </r>
    <r>
      <rPr>
        <b/>
        <sz val="12"/>
        <color rgb="FF0000FF"/>
        <rFont val="원신한 Light"/>
        <family val="3"/>
        <charset val="129"/>
      </rPr>
      <t>)_V2</t>
    </r>
    <phoneticPr fontId="5" type="noConversion"/>
  </si>
  <si>
    <r>
      <rPr>
        <sz val="11"/>
        <color theme="1"/>
        <rFont val="원신한 Light"/>
        <family val="3"/>
        <charset val="129"/>
      </rPr>
      <t xml:space="preserve">   ○ </t>
    </r>
    <r>
      <rPr>
        <b/>
        <sz val="11"/>
        <color rgb="FFFF0000"/>
        <rFont val="원신한 Light"/>
        <family val="3"/>
        <charset val="129"/>
      </rPr>
      <t>제한색상</t>
    </r>
    <r>
      <rPr>
        <b/>
        <sz val="11"/>
        <color theme="1"/>
        <rFont val="원신한 Light"/>
        <family val="3"/>
        <charset val="129"/>
      </rPr>
      <t xml:space="preserve"> 취급 시 일반잔가는 최대잔가 </t>
    </r>
    <r>
      <rPr>
        <b/>
        <u/>
        <sz val="11"/>
        <color rgb="FFFF0000"/>
        <rFont val="원신한 Light"/>
        <family val="3"/>
        <charset val="129"/>
      </rPr>
      <t>-3%</t>
    </r>
    <r>
      <rPr>
        <b/>
        <sz val="11"/>
        <color theme="1"/>
        <rFont val="원신한 Light"/>
        <family val="3"/>
        <charset val="129"/>
      </rPr>
      <t xml:space="preserve"> 취급 가능 / </t>
    </r>
    <r>
      <rPr>
        <b/>
        <sz val="11"/>
        <color rgb="FF0000CC"/>
        <rFont val="원신한 Light"/>
        <family val="3"/>
        <charset val="129"/>
      </rPr>
      <t xml:space="preserve">"고잔가" </t>
    </r>
    <r>
      <rPr>
        <b/>
        <sz val="11"/>
        <color theme="1"/>
        <rFont val="원신한 Light"/>
        <family val="3"/>
        <charset val="129"/>
      </rPr>
      <t>상품 선택 시</t>
    </r>
    <r>
      <rPr>
        <b/>
        <sz val="11"/>
        <color rgb="FF0000CC"/>
        <rFont val="원신한 Light"/>
        <family val="3"/>
        <charset val="129"/>
      </rPr>
      <t xml:space="preserve"> </t>
    </r>
    <r>
      <rPr>
        <b/>
        <u/>
        <sz val="11"/>
        <color rgb="FF0000CC"/>
        <rFont val="원신한 Light"/>
        <family val="3"/>
        <charset val="129"/>
      </rPr>
      <t>제한색상 무관 취급 가능</t>
    </r>
    <phoneticPr fontId="5" type="noConversion"/>
  </si>
  <si>
    <r>
      <rPr>
        <sz val="12"/>
        <color theme="1"/>
        <rFont val="원신한 Light"/>
        <family val="3"/>
        <charset val="129"/>
      </rPr>
      <t xml:space="preserve">   ○ </t>
    </r>
    <r>
      <rPr>
        <b/>
        <sz val="12"/>
        <color theme="1"/>
        <rFont val="원신한 Light"/>
        <family val="3"/>
        <charset val="129"/>
      </rPr>
      <t>제네시스 브랜드</t>
    </r>
    <r>
      <rPr>
        <b/>
        <sz val="12"/>
        <color rgb="FFFF0000"/>
        <rFont val="원신한 Light"/>
        <family val="3"/>
        <charset val="129"/>
      </rPr>
      <t xml:space="preserve"> </t>
    </r>
    <r>
      <rPr>
        <b/>
        <sz val="12"/>
        <color theme="1"/>
        <rFont val="원신한 Light"/>
        <family val="3"/>
        <charset val="129"/>
      </rPr>
      <t>약정주행거리</t>
    </r>
    <r>
      <rPr>
        <b/>
        <sz val="12"/>
        <color rgb="FFFF0000"/>
        <rFont val="원신한 Light"/>
        <family val="3"/>
        <charset val="129"/>
      </rPr>
      <t xml:space="preserve"> </t>
    </r>
    <r>
      <rPr>
        <b/>
        <u/>
        <sz val="12"/>
        <color rgb="FFFF0000"/>
        <rFont val="원신한 Light"/>
        <family val="3"/>
        <charset val="129"/>
      </rPr>
      <t>무제한 취급 불가</t>
    </r>
    <phoneticPr fontId="5" type="noConversion"/>
  </si>
  <si>
    <r>
      <rPr>
        <sz val="11"/>
        <color theme="1"/>
        <rFont val="원신한 Light"/>
        <family val="3"/>
        <charset val="129"/>
      </rPr>
      <t xml:space="preserve">   ○ </t>
    </r>
    <r>
      <rPr>
        <b/>
        <u/>
        <sz val="11"/>
        <color theme="1"/>
        <rFont val="원신한 Light"/>
        <family val="3"/>
        <charset val="129"/>
      </rPr>
      <t>제휴업체 용품 추가 [용품 다각화 및 제품명 노출]</t>
    </r>
    <phoneticPr fontId="5" type="noConversion"/>
  </si>
  <si>
    <t>3. 유의사항</t>
    <phoneticPr fontId="5" type="noConversion"/>
  </si>
  <si>
    <r>
      <t xml:space="preserve">   ○</t>
    </r>
    <r>
      <rPr>
        <b/>
        <sz val="11"/>
        <color rgb="FF0000CC"/>
        <rFont val="원신한 Light"/>
        <family val="3"/>
        <charset val="129"/>
      </rPr>
      <t xml:space="preserve"> </t>
    </r>
    <r>
      <rPr>
        <b/>
        <sz val="11"/>
        <color theme="1"/>
        <rFont val="원신한 Light"/>
        <family val="3"/>
        <charset val="129"/>
      </rPr>
      <t>선구매 차량은 제조사</t>
    </r>
    <r>
      <rPr>
        <b/>
        <sz val="11"/>
        <color rgb="FF0000FF"/>
        <rFont val="원신한 Light"/>
        <family val="3"/>
        <charset val="129"/>
      </rPr>
      <t xml:space="preserve"> "선구매"</t>
    </r>
    <r>
      <rPr>
        <b/>
        <sz val="11"/>
        <color theme="1"/>
        <rFont val="원신한 Light"/>
        <family val="3"/>
        <charset val="129"/>
      </rPr>
      <t>에서 모델 입력하여 진행 (모델명  '</t>
    </r>
    <r>
      <rPr>
        <b/>
        <u/>
        <sz val="11"/>
        <color rgb="FF0000CC"/>
        <rFont val="원신한 Light"/>
        <family val="3"/>
        <charset val="129"/>
      </rPr>
      <t>24년/'25년</t>
    </r>
    <r>
      <rPr>
        <b/>
        <sz val="11"/>
        <color theme="1"/>
        <rFont val="원신한 Light"/>
        <family val="3"/>
        <charset val="129"/>
      </rPr>
      <t xml:space="preserve"> 구매 </t>
    </r>
    <r>
      <rPr>
        <b/>
        <sz val="11"/>
        <color rgb="FF0000CC"/>
        <rFont val="원신한 Light"/>
        <family val="3"/>
        <charset val="129"/>
      </rPr>
      <t>구분</t>
    </r>
    <r>
      <rPr>
        <b/>
        <sz val="11"/>
        <color theme="1"/>
        <rFont val="원신한 Light"/>
        <family val="3"/>
        <charset val="129"/>
      </rPr>
      <t xml:space="preserve"> 필요)</t>
    </r>
    <phoneticPr fontId="5" type="noConversion"/>
  </si>
  <si>
    <t xml:space="preserve">   ○ 팰리세이드 구형 모델 추가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</si>
</sst>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(* #,##0_);_(* \(#,##0\);_(* &quot;-&quot;_);_(@_)"/>
    <numFmt numFmtId="177" formatCode="0_);[Red]\(0\)"/>
    <numFmt numFmtId="178" formatCode="#,##0_);[Red]\(#,##0\)"/>
    <numFmt numFmtId="179" formatCode="#,##0_ "/>
    <numFmt numFmtId="180" formatCode="_-* #,##0.0000_-;\-* #,##0.0000_-;_-* &quot;-&quot;_-;_-@_-"/>
    <numFmt numFmtId="181" formatCode="0.0%"/>
    <numFmt numFmtId="182" formatCode="0.0"/>
    <numFmt numFmtId="183" formatCode="_-* #,##0.0_-;\-* #,##0.0_-;_-* &quot;-&quot;?_-;_-@_-"/>
    <numFmt numFmtId="184" formatCode="_(&quot;₩&quot;* #,##0_);_(&quot;₩&quot;* \(#,##0\);_(&quot;₩&quot;* &quot;-&quot;_);_(@_)"/>
    <numFmt numFmtId="185" formatCode="_(* #,##0.00_);_(* \(#,##0.00\);_(* &quot;-&quot;??_);_(@_)"/>
    <numFmt numFmtId="186" formatCode="_-* #,##0.00000_-;\-* #,##0.00000_-;_-* &quot;-&quot;_-;_-@_-"/>
    <numFmt numFmtId="187" formatCode="0.000_);[Red]\(0.000\)"/>
    <numFmt numFmtId="188" formatCode="0.000"/>
    <numFmt numFmtId="189" formatCode="&quot;₩&quot;#,##0_);[Red]\(&quot;₩&quot;#,##0\)"/>
    <numFmt numFmtId="190" formatCode="0.0000%"/>
    <numFmt numFmtId="191" formatCode="_-* #,##0.0_-;\-* #,##0.0_-;_-* &quot;-&quot;_-;_-@_-"/>
    <numFmt numFmtId="192" formatCode="_-* #,##0.00_-;\-* #,##0.00_-;_-* &quot;-&quot;_-;_-@_-"/>
    <numFmt numFmtId="193" formatCode="0.000%"/>
    <numFmt numFmtId="194" formatCode="_-* #,##0.00000000_-;\-* #,##0.00000000_-;_-* &quot;-&quot;_-;_-@_-"/>
    <numFmt numFmtId="195" formatCode="_-* #,##0.000_-;\-* #,##0.000_-;_-* &quot;-&quot;_-;_-@_-"/>
    <numFmt numFmtId="196" formatCode="&quot;₩&quot;#,##0.000000000000;[Red]\-&quot;₩&quot;#,##0.000000000000"/>
    <numFmt numFmtId="197" formatCode="0.0000"/>
    <numFmt numFmtId="198" formatCode="0_ "/>
    <numFmt numFmtId="199" formatCode="0.000_ "/>
    <numFmt numFmtId="200" formatCode="_-* #,##0_-;\-* #,##0_-;_-* &quot;-&quot;??_-;_-@_-"/>
  </numFmts>
  <fonts count="286">
    <font>
      <sz val="10"/>
      <color theme="1"/>
      <name val="신한세빛 L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신한세빛 L"/>
      <family val="2"/>
      <charset val="129"/>
    </font>
    <font>
      <sz val="8"/>
      <name val="신한세빛 L"/>
      <family val="2"/>
      <charset val="129"/>
    </font>
    <font>
      <sz val="10"/>
      <color theme="0"/>
      <name val="신한세빛 L"/>
      <family val="2"/>
      <charset val="129"/>
    </font>
    <font>
      <sz val="11"/>
      <color theme="1"/>
      <name val="신한세빛 L"/>
      <family val="2"/>
      <charset val="129"/>
    </font>
    <font>
      <sz val="11"/>
      <name val="나눔고딕"/>
      <family val="3"/>
      <charset val="129"/>
    </font>
    <font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  <font>
      <sz val="6"/>
      <name val="나눔고딕"/>
      <family val="3"/>
      <charset val="129"/>
    </font>
    <font>
      <sz val="8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color theme="1"/>
      <name val="맑은 고딕"/>
      <family val="2"/>
      <charset val="129"/>
      <scheme val="minor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b/>
      <sz val="12"/>
      <color theme="1"/>
      <name val="신한세빛 L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나눔고딕"/>
      <family val="3"/>
      <charset val="129"/>
    </font>
    <font>
      <sz val="12"/>
      <color theme="1"/>
      <name val="신한세빛 L"/>
      <family val="2"/>
      <charset val="129"/>
    </font>
    <font>
      <sz val="11"/>
      <color theme="1"/>
      <name val="신한세빛 L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신한세빛 L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신한세빛 L"/>
      <family val="2"/>
      <charset val="129"/>
    </font>
    <font>
      <b/>
      <sz val="10"/>
      <color theme="1"/>
      <name val="신한세빛 L"/>
      <family val="3"/>
      <charset val="129"/>
    </font>
    <font>
      <b/>
      <sz val="11"/>
      <color theme="0" tint="-0.249977111117893"/>
      <name val="나눔고딕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sz val="8"/>
      <color rgb="FFFF000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4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sz val="14"/>
      <color theme="1"/>
      <name val="신한세빛 L"/>
      <family val="2"/>
      <charset val="129"/>
    </font>
    <font>
      <b/>
      <sz val="11"/>
      <color rgb="FFFF0000"/>
      <name val="Helvetica"/>
      <family val="2"/>
    </font>
    <font>
      <sz val="11"/>
      <color theme="1"/>
      <name val="나눔고딕 ExtraBold"/>
      <family val="3"/>
      <charset val="129"/>
    </font>
    <font>
      <b/>
      <sz val="10"/>
      <name val="맑은 고딕"/>
      <family val="3"/>
      <charset val="129"/>
      <scheme val="major"/>
    </font>
    <font>
      <sz val="8"/>
      <color theme="1"/>
      <name val="신한세빛 L"/>
      <family val="2"/>
      <charset val="129"/>
    </font>
    <font>
      <b/>
      <sz val="11"/>
      <color theme="1"/>
      <name val="나눔고딕 ExtraBold"/>
      <family val="3"/>
      <charset val="129"/>
    </font>
    <font>
      <sz val="11"/>
      <color theme="1" tint="0.499984740745262"/>
      <name val="나눔고딕"/>
      <family val="3"/>
      <charset val="129"/>
    </font>
    <font>
      <sz val="11"/>
      <name val="원신한 Light"/>
      <family val="3"/>
      <charset val="129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name val="굴림체"/>
      <family val="3"/>
      <charset val="129"/>
    </font>
    <font>
      <b/>
      <sz val="8"/>
      <color rgb="FFFF0000"/>
      <name val="나눔고딕"/>
      <family val="3"/>
      <charset val="129"/>
    </font>
    <font>
      <b/>
      <sz val="18"/>
      <color rgb="FF3399FF"/>
      <name val="나눔고딕"/>
      <family val="3"/>
      <charset val="129"/>
    </font>
    <font>
      <sz val="10"/>
      <color rgb="FF002060"/>
      <name val="나눔고딕"/>
      <family val="3"/>
      <charset val="129"/>
    </font>
    <font>
      <sz val="6"/>
      <color rgb="FF002060"/>
      <name val="나눔고딕"/>
      <family val="3"/>
      <charset val="129"/>
    </font>
    <font>
      <b/>
      <sz val="10"/>
      <color rgb="FF002060"/>
      <name val="나눔고딕"/>
      <family val="3"/>
      <charset val="129"/>
    </font>
    <font>
      <b/>
      <sz val="10"/>
      <color theme="1" tint="4.9989318521683403E-2"/>
      <name val="나눔고딕"/>
      <family val="3"/>
      <charset val="129"/>
    </font>
    <font>
      <b/>
      <sz val="6"/>
      <name val="나눔고딕"/>
      <family val="3"/>
      <charset val="129"/>
    </font>
    <font>
      <b/>
      <sz val="8"/>
      <name val="나눔고딕"/>
      <family val="3"/>
      <charset val="129"/>
    </font>
    <font>
      <sz val="5"/>
      <color theme="1"/>
      <name val="나눔고딕"/>
      <family val="3"/>
      <charset val="129"/>
    </font>
    <font>
      <b/>
      <u/>
      <sz val="14"/>
      <color theme="1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ajor"/>
    </font>
    <font>
      <sz val="6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ajor"/>
    </font>
    <font>
      <sz val="11"/>
      <color rgb="FF000000"/>
      <name val="원신한 Light"/>
      <family val="3"/>
      <charset val="129"/>
    </font>
    <font>
      <sz val="8"/>
      <name val="맑은 고딕"/>
      <family val="3"/>
      <charset val="129"/>
    </font>
    <font>
      <b/>
      <sz val="12"/>
      <color theme="1"/>
      <name val="나눔고딕"/>
      <family val="3"/>
      <charset val="129"/>
    </font>
    <font>
      <b/>
      <sz val="10"/>
      <color rgb="FFFF0000"/>
      <name val="원신한 Light"/>
      <family val="3"/>
      <charset val="129"/>
    </font>
    <font>
      <b/>
      <sz val="8"/>
      <color rgb="FF000000"/>
      <name val="원신한 Light"/>
      <family val="3"/>
      <charset val="129"/>
    </font>
    <font>
      <sz val="8"/>
      <color rgb="FF000000"/>
      <name val="원신한 Light"/>
      <family val="3"/>
      <charset val="129"/>
    </font>
    <font>
      <b/>
      <sz val="9"/>
      <color rgb="FF000000"/>
      <name val="원신한 Light"/>
      <family val="3"/>
      <charset val="129"/>
    </font>
    <font>
      <sz val="9"/>
      <color rgb="FF000000"/>
      <name val="원신한 Light"/>
      <family val="3"/>
      <charset val="129"/>
    </font>
    <font>
      <sz val="14"/>
      <name val="신한세빛 L"/>
      <family val="2"/>
      <charset val="129"/>
    </font>
    <font>
      <b/>
      <sz val="14"/>
      <color theme="1"/>
      <name val="신한세빛 L"/>
      <family val="2"/>
      <charset val="129"/>
    </font>
    <font>
      <sz val="14"/>
      <color theme="1"/>
      <name val="맑은 고딕"/>
      <family val="3"/>
      <charset val="129"/>
      <scheme val="major"/>
    </font>
    <font>
      <sz val="18"/>
      <name val="신한세빛 L"/>
      <family val="2"/>
      <charset val="129"/>
    </font>
    <font>
      <b/>
      <sz val="14"/>
      <color theme="1"/>
      <name val="원신한 Bold"/>
      <family val="3"/>
      <charset val="129"/>
    </font>
    <font>
      <sz val="14"/>
      <color theme="1"/>
      <name val="원신한 Bold"/>
      <family val="3"/>
      <charset val="129"/>
    </font>
    <font>
      <sz val="18"/>
      <name val="신한세빛 L"/>
      <family val="3"/>
      <charset val="129"/>
    </font>
    <font>
      <sz val="14"/>
      <name val="원신한 Light"/>
      <family val="3"/>
      <charset val="129"/>
    </font>
    <font>
      <sz val="14"/>
      <color theme="1"/>
      <name val="원신한 Light"/>
      <family val="3"/>
      <charset val="129"/>
    </font>
    <font>
      <sz val="14"/>
      <color rgb="FFFF0000"/>
      <name val="원신한 Light"/>
      <family val="3"/>
      <charset val="129"/>
    </font>
    <font>
      <b/>
      <sz val="14"/>
      <color rgb="FFFF0000"/>
      <name val="신한세빛 L"/>
      <family val="3"/>
      <charset val="129"/>
    </font>
    <font>
      <sz val="10"/>
      <color theme="1"/>
      <name val="원신한 Light"/>
      <family val="3"/>
      <charset val="129"/>
    </font>
    <font>
      <sz val="11"/>
      <color theme="1"/>
      <name val="원신한 Light"/>
      <family val="3"/>
      <charset val="129"/>
    </font>
    <font>
      <sz val="12"/>
      <color theme="1"/>
      <name val="신한세빛 본문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원신한 Light"/>
      <family val="3"/>
      <charset val="129"/>
    </font>
    <font>
      <sz val="10"/>
      <color theme="0"/>
      <name val="신한세빛 L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18"/>
      <color theme="1"/>
      <name val="나눔바른고딕 Light"/>
      <family val="3"/>
      <charset val="129"/>
    </font>
    <font>
      <sz val="10"/>
      <color theme="1"/>
      <name val="나눔바른고딕 Light"/>
      <family val="3"/>
      <charset val="129"/>
    </font>
    <font>
      <sz val="11"/>
      <color theme="1"/>
      <name val="나눔바른고딕 Light"/>
      <family val="3"/>
      <charset val="129"/>
    </font>
    <font>
      <b/>
      <u/>
      <sz val="14"/>
      <color theme="1"/>
      <name val="나눔바른고딕 Light"/>
      <family val="3"/>
      <charset val="129"/>
    </font>
    <font>
      <sz val="12"/>
      <color theme="1"/>
      <name val="나눔바른고딕 Light"/>
      <family val="3"/>
      <charset val="129"/>
    </font>
    <font>
      <b/>
      <sz val="11"/>
      <color theme="1"/>
      <name val="나눔바른고딕 Light"/>
      <family val="3"/>
      <charset val="129"/>
    </font>
    <font>
      <sz val="11"/>
      <color theme="1"/>
      <name val="Helvetica"/>
      <family val="2"/>
    </font>
    <font>
      <b/>
      <sz val="13"/>
      <color rgb="FFFF0000"/>
      <name val="나눔고딕"/>
      <family val="3"/>
      <charset val="129"/>
    </font>
    <font>
      <b/>
      <sz val="14"/>
      <color theme="1"/>
      <name val="원신한 Light"/>
      <family val="3"/>
      <charset val="129"/>
    </font>
    <font>
      <sz val="12"/>
      <color theme="1"/>
      <name val="굴림"/>
      <family val="3"/>
      <charset val="129"/>
    </font>
    <font>
      <b/>
      <sz val="10"/>
      <color theme="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3"/>
      <color theme="0"/>
      <name val="맑은 고딕"/>
      <family val="3"/>
      <charset val="129"/>
    </font>
    <font>
      <sz val="13"/>
      <name val="맑은 고딕"/>
      <family val="3"/>
      <charset val="129"/>
    </font>
    <font>
      <sz val="13"/>
      <color theme="1" tint="0.14999847407452621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4"/>
      <name val="맑은 고딕"/>
      <family val="3"/>
      <charset val="129"/>
    </font>
    <font>
      <sz val="12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i/>
      <sz val="11"/>
      <color rgb="FFFF0000"/>
      <name val="맑은 고딕"/>
      <family val="3"/>
      <charset val="129"/>
    </font>
    <font>
      <b/>
      <i/>
      <sz val="12"/>
      <color rgb="FFFF0000"/>
      <name val="맑은 고딕"/>
      <family val="3"/>
      <charset val="129"/>
    </font>
    <font>
      <b/>
      <i/>
      <sz val="10"/>
      <color rgb="FFFF0000"/>
      <name val="맑은 고딕"/>
      <family val="3"/>
      <charset val="129"/>
    </font>
    <font>
      <b/>
      <i/>
      <sz val="13"/>
      <color rgb="FFFF0000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6"/>
      <color theme="1"/>
      <name val="맑은 고딕"/>
      <family val="3"/>
      <charset val="129"/>
    </font>
    <font>
      <sz val="18"/>
      <name val="맑은 고딕"/>
      <family val="3"/>
      <charset val="129"/>
    </font>
    <font>
      <b/>
      <sz val="12"/>
      <color theme="1" tint="0.14999847407452621"/>
      <name val="맑은 고딕"/>
      <family val="3"/>
      <charset val="129"/>
    </font>
    <font>
      <sz val="16"/>
      <color theme="1" tint="0.34998626667073579"/>
      <name val="맑은 고딕"/>
      <family val="3"/>
      <charset val="129"/>
    </font>
    <font>
      <sz val="17"/>
      <color theme="1" tint="0.34998626667073579"/>
      <name val="맑은 고딕"/>
      <family val="3"/>
      <charset val="129"/>
    </font>
    <font>
      <sz val="18"/>
      <color theme="0" tint="-0.499984740745262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i/>
      <sz val="11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1"/>
      <color rgb="FF00206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4"/>
      <color theme="1" tint="0.34998626667073579"/>
      <name val="맑은 고딕"/>
      <family val="3"/>
      <charset val="129"/>
    </font>
    <font>
      <b/>
      <sz val="16"/>
      <color theme="1" tint="0.34998626667073579"/>
      <name val="맑은 고딕"/>
      <family val="3"/>
      <charset val="129"/>
    </font>
    <font>
      <b/>
      <sz val="13"/>
      <color theme="1" tint="0.14999847407452621"/>
      <name val="맑은 고딕"/>
      <family val="3"/>
      <charset val="129"/>
    </font>
    <font>
      <sz val="12"/>
      <color theme="1" tint="0.14999847407452621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sz val="14"/>
      <color theme="0" tint="-0.34998626667073579"/>
      <name val="맑은 고딕"/>
      <family val="3"/>
      <charset val="129"/>
    </font>
    <font>
      <b/>
      <sz val="14"/>
      <color theme="0" tint="-0.34998626667073579"/>
      <name val="맑은 고딕"/>
      <family val="3"/>
      <charset val="129"/>
    </font>
    <font>
      <b/>
      <sz val="14"/>
      <color theme="0" tint="-0.499984740745262"/>
      <name val="맑은 고딕"/>
      <family val="3"/>
      <charset val="129"/>
    </font>
    <font>
      <b/>
      <u/>
      <sz val="16"/>
      <name val="맑은 고딕"/>
      <family val="3"/>
      <charset val="129"/>
    </font>
    <font>
      <b/>
      <sz val="18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b/>
      <sz val="18"/>
      <color theme="1" tint="0.34998626667073579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.8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11"/>
      <color theme="1" tint="0.14999847407452621"/>
      <name val="맑은 고딕"/>
      <family val="3"/>
      <charset val="129"/>
    </font>
    <font>
      <b/>
      <sz val="7"/>
      <color theme="1" tint="0.14999847407452621"/>
      <name val="맑은 고딕"/>
      <family val="3"/>
      <charset val="129"/>
    </font>
    <font>
      <sz val="8"/>
      <color theme="1"/>
      <name val="맑은 고딕"/>
      <family val="3"/>
      <charset val="129"/>
    </font>
    <font>
      <i/>
      <sz val="14"/>
      <color theme="1"/>
      <name val="맑은 고딕"/>
      <family val="3"/>
      <charset val="129"/>
    </font>
    <font>
      <b/>
      <u/>
      <sz val="9.3000000000000007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i/>
      <u/>
      <sz val="9"/>
      <name val="맑은 고딕"/>
      <family val="3"/>
      <charset val="129"/>
      <scheme val="major"/>
    </font>
    <font>
      <b/>
      <u/>
      <sz val="9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b/>
      <u/>
      <sz val="14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3"/>
      <color theme="0"/>
      <name val="맑은 고딕"/>
      <family val="3"/>
      <charset val="129"/>
      <scheme val="major"/>
    </font>
    <font>
      <b/>
      <i/>
      <sz val="7"/>
      <color theme="1"/>
      <name val="맑은 고딕"/>
      <family val="3"/>
      <charset val="129"/>
      <scheme val="major"/>
    </font>
    <font>
      <i/>
      <sz val="7"/>
      <color theme="1"/>
      <name val="맑은 고딕"/>
      <family val="3"/>
      <charset val="129"/>
      <scheme val="major"/>
    </font>
    <font>
      <b/>
      <sz val="12"/>
      <color theme="1" tint="0.34998626667073579"/>
      <name val="맑은 고딕"/>
      <family val="3"/>
      <charset val="129"/>
      <scheme val="major"/>
    </font>
    <font>
      <b/>
      <sz val="10"/>
      <color theme="1" tint="0.34998626667073579"/>
      <name val="맑은 고딕"/>
      <family val="3"/>
      <charset val="129"/>
      <scheme val="major"/>
    </font>
    <font>
      <b/>
      <sz val="9"/>
      <color theme="1" tint="0.34998626667073579"/>
      <name val="맑은 고딕"/>
      <family val="3"/>
      <charset val="129"/>
      <scheme val="major"/>
    </font>
    <font>
      <b/>
      <sz val="6"/>
      <color theme="1" tint="0.3499862666707357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rgb="FF002060"/>
      <name val="맑은 고딕"/>
      <family val="3"/>
      <charset val="129"/>
      <scheme val="major"/>
    </font>
    <font>
      <b/>
      <sz val="8"/>
      <color rgb="FF00206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10"/>
      <color rgb="FF00206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7"/>
      <color rgb="FFFF0000"/>
      <name val="맑은 고딕"/>
      <family val="3"/>
      <charset val="129"/>
      <scheme val="major"/>
    </font>
    <font>
      <b/>
      <sz val="11"/>
      <color rgb="FF00206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 tint="0.34998626667073579"/>
      <name val="맑은 고딕"/>
      <family val="3"/>
      <charset val="129"/>
      <scheme val="major"/>
    </font>
    <font>
      <u/>
      <sz val="9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7.5"/>
      <name val="맑은 고딕"/>
      <family val="3"/>
      <charset val="129"/>
      <scheme val="major"/>
    </font>
    <font>
      <sz val="10"/>
      <color theme="1" tint="0.34998626667073579"/>
      <name val="맑은 고딕"/>
      <family val="3"/>
      <charset val="129"/>
      <scheme val="major"/>
    </font>
    <font>
      <sz val="8"/>
      <color theme="1" tint="0.34998626667073579"/>
      <name val="맑은 고딕"/>
      <family val="3"/>
      <charset val="129"/>
      <scheme val="major"/>
    </font>
    <font>
      <b/>
      <i/>
      <sz val="8"/>
      <color theme="1"/>
      <name val="맑은 고딕"/>
      <family val="3"/>
      <charset val="129"/>
      <scheme val="major"/>
    </font>
    <font>
      <sz val="10"/>
      <color theme="1" tint="0.14999847407452621"/>
      <name val="맑은 고딕"/>
      <family val="3"/>
      <charset val="129"/>
    </font>
    <font>
      <b/>
      <sz val="12"/>
      <color theme="1"/>
      <name val="원신한 Light"/>
      <family val="3"/>
      <charset val="129"/>
    </font>
    <font>
      <sz val="9"/>
      <color theme="1"/>
      <name val="원신한 Light"/>
      <family val="3"/>
      <charset val="129"/>
    </font>
    <font>
      <sz val="10"/>
      <color rgb="FFFF0000"/>
      <name val="원신한 Light"/>
      <family val="3"/>
      <charset val="129"/>
    </font>
    <font>
      <sz val="15"/>
      <color theme="0"/>
      <name val="맑은 고딕"/>
      <family val="3"/>
      <charset val="129"/>
    </font>
    <font>
      <b/>
      <sz val="18"/>
      <color theme="0"/>
      <name val="원신한 Light"/>
      <family val="3"/>
      <charset val="129"/>
    </font>
    <font>
      <sz val="10"/>
      <color theme="0"/>
      <name val="원신한 Light"/>
      <family val="3"/>
      <charset val="129"/>
    </font>
    <font>
      <b/>
      <sz val="18"/>
      <color rgb="FFFF0000"/>
      <name val="원신한 Light"/>
      <family val="3"/>
      <charset val="129"/>
    </font>
    <font>
      <b/>
      <sz val="13"/>
      <color theme="1"/>
      <name val="원신한 Light"/>
      <family val="3"/>
      <charset val="129"/>
    </font>
    <font>
      <sz val="13"/>
      <name val="원신한 Light"/>
      <family val="3"/>
      <charset val="129"/>
    </font>
    <font>
      <sz val="12"/>
      <name val="원신한 Light"/>
      <family val="3"/>
      <charset val="129"/>
    </font>
    <font>
      <b/>
      <sz val="13"/>
      <color rgb="FFFF0000"/>
      <name val="원신한 Light"/>
      <family val="3"/>
      <charset val="129"/>
    </font>
    <font>
      <b/>
      <sz val="16"/>
      <color theme="0"/>
      <name val="원신한 Light"/>
      <family val="3"/>
      <charset val="129"/>
    </font>
    <font>
      <b/>
      <sz val="11"/>
      <color rgb="FFC00000"/>
      <name val="원신한 Light"/>
      <family val="3"/>
      <charset val="129"/>
    </font>
    <font>
      <sz val="18"/>
      <color theme="4" tint="-0.249977111117893"/>
      <name val="원신한 Bold"/>
      <family val="3"/>
      <charset val="129"/>
    </font>
    <font>
      <b/>
      <sz val="13"/>
      <name val="원신한 Light"/>
      <family val="3"/>
      <charset val="129"/>
    </font>
    <font>
      <sz val="11"/>
      <color rgb="FF0000FF"/>
      <name val="원신한 Light"/>
      <family val="3"/>
      <charset val="129"/>
    </font>
    <font>
      <b/>
      <u/>
      <sz val="11"/>
      <color rgb="FFFF0000"/>
      <name val="원신한 Light"/>
      <family val="3"/>
      <charset val="129"/>
    </font>
    <font>
      <sz val="14"/>
      <color rgb="FF0000FF"/>
      <name val="원신한 Light"/>
      <family val="3"/>
      <charset val="129"/>
    </font>
    <font>
      <sz val="11"/>
      <color rgb="FFFF0000"/>
      <name val="원신한 Light"/>
      <family val="3"/>
      <charset val="129"/>
    </font>
    <font>
      <sz val="11"/>
      <color theme="5" tint="-0.249977111117893"/>
      <name val="원신한 Light"/>
      <family val="3"/>
      <charset val="129"/>
    </font>
    <font>
      <sz val="11"/>
      <color theme="9" tint="-0.499984740745262"/>
      <name val="원신한 Light"/>
      <family val="3"/>
      <charset val="129"/>
    </font>
    <font>
      <b/>
      <sz val="11"/>
      <name val="원신한 Light"/>
      <family val="3"/>
      <charset val="129"/>
    </font>
    <font>
      <sz val="11"/>
      <color theme="7" tint="-0.249977111117893"/>
      <name val="원신한 Light"/>
      <family val="3"/>
      <charset val="129"/>
    </font>
    <font>
      <b/>
      <sz val="11"/>
      <color rgb="FFFF0000"/>
      <name val="원신한 Light"/>
      <family val="3"/>
      <charset val="129"/>
    </font>
    <font>
      <b/>
      <sz val="13"/>
      <color rgb="FF0000FF"/>
      <name val="원신한 Light"/>
      <family val="3"/>
      <charset val="129"/>
    </font>
    <font>
      <sz val="12"/>
      <color theme="7" tint="0.59999389629810485"/>
      <name val="맑은 고딕"/>
      <family val="3"/>
      <charset val="129"/>
    </font>
    <font>
      <b/>
      <sz val="12"/>
      <color theme="0"/>
      <name val="나눔고딕"/>
      <family val="3"/>
      <charset val="129"/>
    </font>
    <font>
      <sz val="14"/>
      <color rgb="FF0000CC"/>
      <name val="원신한 Light"/>
      <family val="3"/>
      <charset val="129"/>
    </font>
    <font>
      <sz val="8"/>
      <color rgb="FF0000CC"/>
      <name val="나눔고딕"/>
      <family val="3"/>
      <charset val="129"/>
    </font>
    <font>
      <sz val="9"/>
      <color theme="0"/>
      <name val="원신한 Light"/>
      <family val="3"/>
      <charset val="129"/>
    </font>
    <font>
      <b/>
      <sz val="9"/>
      <color theme="1"/>
      <name val="원신한 Light"/>
      <family val="3"/>
      <charset val="129"/>
    </font>
    <font>
      <b/>
      <sz val="9"/>
      <color theme="0"/>
      <name val="원신한 Light"/>
      <family val="3"/>
      <charset val="129"/>
    </font>
    <font>
      <b/>
      <sz val="9"/>
      <color rgb="FFFF0000"/>
      <name val="원신한 Light"/>
      <family val="3"/>
      <charset val="129"/>
    </font>
    <font>
      <sz val="9"/>
      <name val="원신한 Light"/>
      <family val="3"/>
      <charset val="129"/>
    </font>
    <font>
      <sz val="9"/>
      <color rgb="FFFF0000"/>
      <name val="원신한 Light"/>
      <family val="3"/>
      <charset val="129"/>
    </font>
    <font>
      <b/>
      <sz val="10"/>
      <color theme="1"/>
      <name val="원신한 Light"/>
      <family val="3"/>
      <charset val="129"/>
    </font>
    <font>
      <u/>
      <sz val="10"/>
      <color theme="1"/>
      <name val="신한세빛 L"/>
      <family val="2"/>
      <charset val="129"/>
    </font>
    <font>
      <b/>
      <sz val="20"/>
      <color theme="1"/>
      <name val="원신한 Light"/>
      <family val="3"/>
      <charset val="129"/>
    </font>
    <font>
      <sz val="16"/>
      <color theme="1"/>
      <name val="원신한 Light"/>
      <family val="3"/>
      <charset val="129"/>
    </font>
    <font>
      <sz val="18"/>
      <color rgb="FFFF0000"/>
      <name val="원신한 Light"/>
      <family val="3"/>
      <charset val="129"/>
    </font>
    <font>
      <sz val="18"/>
      <color theme="1"/>
      <name val="원신한 Light"/>
      <family val="3"/>
      <charset val="129"/>
    </font>
    <font>
      <sz val="18"/>
      <name val="원신한 Light"/>
      <family val="3"/>
      <charset val="129"/>
    </font>
    <font>
      <b/>
      <sz val="15"/>
      <color rgb="FFFF0000"/>
      <name val="맑은 고딕"/>
      <family val="3"/>
      <charset val="129"/>
    </font>
    <font>
      <b/>
      <u/>
      <sz val="11"/>
      <color rgb="FF0000CC"/>
      <name val="원신한 Light"/>
      <family val="3"/>
      <charset val="129"/>
    </font>
    <font>
      <sz val="12"/>
      <color theme="1"/>
      <name val="원신한 Light"/>
      <family val="3"/>
      <charset val="129"/>
    </font>
    <font>
      <b/>
      <sz val="12"/>
      <color rgb="FFFF0000"/>
      <name val="원신한 Light"/>
      <family val="3"/>
      <charset val="129"/>
    </font>
    <font>
      <b/>
      <sz val="11"/>
      <color rgb="FF0000CC"/>
      <name val="원신한 Light"/>
      <family val="3"/>
      <charset val="129"/>
    </font>
    <font>
      <b/>
      <u/>
      <sz val="12"/>
      <color rgb="FF0000FF"/>
      <name val="원신한 Light"/>
      <family val="3"/>
      <charset val="129"/>
    </font>
    <font>
      <b/>
      <sz val="13"/>
      <color rgb="FF0000CC"/>
      <name val="원신한 Light"/>
      <family val="3"/>
      <charset val="129"/>
    </font>
    <font>
      <b/>
      <sz val="14"/>
      <color rgb="FFFF0000"/>
      <name val="원신한 Bold"/>
      <family val="3"/>
      <charset val="129"/>
    </font>
    <font>
      <sz val="13"/>
      <color rgb="FF0000FF"/>
      <name val="원신한 Light"/>
      <family val="3"/>
      <charset val="129"/>
    </font>
    <font>
      <b/>
      <sz val="8"/>
      <color rgb="FF0000FF"/>
      <name val="나눔고딕"/>
      <family val="3"/>
      <charset val="129"/>
    </font>
    <font>
      <sz val="13"/>
      <color rgb="FFFF0000"/>
      <name val="원신한 Light"/>
      <family val="3"/>
      <charset val="129"/>
    </font>
    <font>
      <b/>
      <sz val="15"/>
      <color theme="0"/>
      <name val="나눔고딕"/>
      <family val="3"/>
      <charset val="129"/>
    </font>
    <font>
      <b/>
      <u/>
      <sz val="13"/>
      <color rgb="FFFF0000"/>
      <name val="원신한 Light"/>
      <family val="3"/>
      <charset val="129"/>
    </font>
    <font>
      <b/>
      <sz val="14"/>
      <color theme="0"/>
      <name val="나눔고딕"/>
      <family val="3"/>
      <charset val="129"/>
    </font>
    <font>
      <b/>
      <u/>
      <sz val="12"/>
      <color rgb="FFFF0000"/>
      <name val="원신한 Light"/>
      <family val="3"/>
      <charset val="129"/>
    </font>
    <font>
      <b/>
      <sz val="12"/>
      <color rgb="FF0000FF"/>
      <name val="원신한 Light"/>
      <family val="3"/>
      <charset val="129"/>
    </font>
    <font>
      <b/>
      <u/>
      <sz val="12"/>
      <color theme="1"/>
      <name val="원신한 Light"/>
      <family val="3"/>
      <charset val="129"/>
    </font>
    <font>
      <sz val="13"/>
      <color theme="1"/>
      <name val="원신한 Light"/>
      <family val="3"/>
      <charset val="129"/>
    </font>
    <font>
      <b/>
      <sz val="12"/>
      <color rgb="FF0000CC"/>
      <name val="원신한 Light"/>
      <family val="3"/>
      <charset val="129"/>
    </font>
    <font>
      <b/>
      <u/>
      <sz val="11"/>
      <color theme="1"/>
      <name val="원신한 Light"/>
      <family val="3"/>
      <charset val="129"/>
    </font>
    <font>
      <sz val="12"/>
      <color rgb="FF0000CC"/>
      <name val="원신한 Light"/>
      <family val="3"/>
      <charset val="129"/>
    </font>
    <font>
      <b/>
      <sz val="11"/>
      <color rgb="FF0000FF"/>
      <name val="원신한 Light"/>
      <family val="3"/>
      <charset val="129"/>
    </font>
    <font>
      <b/>
      <u/>
      <sz val="11"/>
      <color rgb="FF0000FF"/>
      <name val="원신한 Light"/>
      <family val="3"/>
      <charset val="129"/>
    </font>
    <font>
      <sz val="12"/>
      <color rgb="FF0000FF"/>
      <name val="원신한 Light"/>
      <family val="3"/>
      <charset val="129"/>
    </font>
    <font>
      <b/>
      <sz val="20"/>
      <color rgb="FFFF0000"/>
      <name val="나눔고딕"/>
      <family val="3"/>
      <charset val="129"/>
    </font>
    <font>
      <b/>
      <sz val="20"/>
      <color rgb="FFFF0000"/>
      <name val="나눔고딕"/>
      <charset val="129"/>
    </font>
    <font>
      <b/>
      <sz val="11"/>
      <color rgb="FFFF0000"/>
      <name val="나눔고딕"/>
      <charset val="129"/>
    </font>
  </fonts>
  <fills count="3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081C8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25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hair">
        <color rgb="FF002060"/>
      </bottom>
      <diagonal/>
    </border>
    <border>
      <left/>
      <right/>
      <top style="medium">
        <color indexed="64"/>
      </top>
      <bottom style="hair">
        <color rgb="FF00206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 style="hair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rgb="FF002060"/>
      </top>
      <bottom/>
      <diagonal/>
    </border>
    <border>
      <left style="hair">
        <color rgb="FF002060"/>
      </left>
      <right/>
      <top/>
      <bottom style="hair">
        <color rgb="FF002060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hair">
        <color rgb="FF002060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499984740745262"/>
      </bottom>
      <diagonal/>
    </border>
    <border>
      <left/>
      <right/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 style="hair">
        <color rgb="FF002060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2060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rgb="FF002060"/>
      </bottom>
      <diagonal/>
    </border>
    <border>
      <left/>
      <right style="hair">
        <color indexed="64"/>
      </right>
      <top style="hair">
        <color indexed="64"/>
      </top>
      <bottom style="thin">
        <color rgb="FF002060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indexed="64"/>
      </bottom>
      <diagonal/>
    </border>
    <border>
      <left/>
      <right style="thin">
        <color indexed="64"/>
      </right>
      <top style="thin">
        <color rgb="FF002060"/>
      </top>
      <bottom style="medium">
        <color indexed="64"/>
      </bottom>
      <diagonal/>
    </border>
    <border>
      <left/>
      <right/>
      <top style="thin">
        <color rgb="FF002060"/>
      </top>
      <bottom style="hair">
        <color rgb="FF002060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hair">
        <color indexed="64"/>
      </left>
      <right/>
      <top style="hair">
        <color rgb="FF002060"/>
      </top>
      <bottom style="hair">
        <color rgb="FF002060"/>
      </bottom>
      <diagonal/>
    </border>
    <border>
      <left/>
      <right style="hair">
        <color indexed="64"/>
      </right>
      <top style="hair">
        <color rgb="FF002060"/>
      </top>
      <bottom style="hair">
        <color indexed="64"/>
      </bottom>
      <diagonal/>
    </border>
    <border>
      <left style="hair">
        <color indexed="64"/>
      </left>
      <right/>
      <top/>
      <bottom style="hair">
        <color rgb="FF002060"/>
      </bottom>
      <diagonal/>
    </border>
    <border>
      <left/>
      <right style="hair">
        <color indexed="64"/>
      </right>
      <top/>
      <bottom style="hair">
        <color rgb="FF002060"/>
      </bottom>
      <diagonal/>
    </border>
    <border>
      <left/>
      <right style="hair">
        <color indexed="64"/>
      </right>
      <top style="hair">
        <color rgb="FF002060"/>
      </top>
      <bottom style="hair">
        <color rgb="FF002060"/>
      </bottom>
      <diagonal/>
    </border>
    <border>
      <left style="hair">
        <color indexed="64"/>
      </left>
      <right/>
      <top style="hair">
        <color rgb="FF002060"/>
      </top>
      <bottom style="thin">
        <color indexed="64"/>
      </bottom>
      <diagonal/>
    </border>
    <border>
      <left/>
      <right style="hair">
        <color indexed="64"/>
      </right>
      <top style="hair">
        <color rgb="FF002060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rgb="FF002060"/>
      </bottom>
      <diagonal/>
    </border>
    <border>
      <left style="hair">
        <color indexed="64"/>
      </left>
      <right/>
      <top style="hair">
        <color rgb="FF002060"/>
      </top>
      <bottom style="hair">
        <color indexed="64"/>
      </bottom>
      <diagonal/>
    </border>
    <border>
      <left style="hair">
        <color rgb="FF002060"/>
      </left>
      <right/>
      <top style="hair">
        <color rgb="FF002060"/>
      </top>
      <bottom style="hair">
        <color indexed="64"/>
      </bottom>
      <diagonal/>
    </border>
    <border>
      <left style="hair">
        <color rgb="FF00206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rgb="FF002060"/>
      </top>
      <bottom/>
      <diagonal/>
    </border>
    <border>
      <left/>
      <right style="hair">
        <color indexed="64"/>
      </right>
      <top style="hair">
        <color theme="1"/>
      </top>
      <bottom style="thin">
        <color indexed="64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/>
    <xf numFmtId="176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60" fillId="0" borderId="0" applyBorder="0"/>
    <xf numFmtId="176" fontId="58" fillId="0" borderId="0" applyFont="0" applyFill="0" applyBorder="0" applyAlignment="0" applyProtection="0">
      <alignment vertical="center"/>
    </xf>
    <xf numFmtId="176" fontId="60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2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8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176" fontId="0" fillId="0" borderId="9" xfId="1" applyFont="1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176" fontId="0" fillId="0" borderId="0" xfId="1" applyFont="1" applyFill="1">
      <alignment vertical="center"/>
    </xf>
    <xf numFmtId="0" fontId="0" fillId="0" borderId="2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7" fontId="0" fillId="4" borderId="15" xfId="1" applyNumberFormat="1" applyFont="1" applyFill="1" applyBorder="1" applyAlignment="1">
      <alignment horizontal="center" vertical="center"/>
    </xf>
    <xf numFmtId="176" fontId="0" fillId="0" borderId="23" xfId="1" applyFont="1" applyBorder="1" applyAlignment="1">
      <alignment horizontal="center" vertical="center"/>
    </xf>
    <xf numFmtId="176" fontId="0" fillId="2" borderId="17" xfId="1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76" fontId="9" fillId="0" borderId="15" xfId="1" applyFont="1" applyFill="1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15" fillId="0" borderId="20" xfId="0" applyFont="1" applyBorder="1" applyAlignment="1">
      <alignment horizontal="center" vertical="center"/>
    </xf>
    <xf numFmtId="178" fontId="16" fillId="0" borderId="18" xfId="5" applyNumberFormat="1" applyFont="1" applyFill="1" applyBorder="1" applyAlignment="1">
      <alignment vertical="center"/>
    </xf>
    <xf numFmtId="178" fontId="16" fillId="0" borderId="21" xfId="5" applyNumberFormat="1" applyFont="1" applyFill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78" fontId="16" fillId="0" borderId="28" xfId="5" applyNumberFormat="1" applyFont="1" applyFill="1" applyBorder="1" applyAlignment="1">
      <alignment vertical="center"/>
    </xf>
    <xf numFmtId="178" fontId="16" fillId="0" borderId="17" xfId="5" applyNumberFormat="1" applyFont="1" applyFill="1" applyBorder="1" applyAlignment="1">
      <alignment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0" xfId="4" applyFont="1" applyAlignment="1" applyProtection="1">
      <alignment horizontal="center" vertical="center"/>
      <protection locked="0"/>
    </xf>
    <xf numFmtId="176" fontId="9" fillId="0" borderId="0" xfId="1" applyFont="1" applyFill="1" applyBorder="1" applyAlignment="1" applyProtection="1">
      <alignment horizontal="center" vertical="center"/>
      <protection locked="0"/>
    </xf>
    <xf numFmtId="0" fontId="10" fillId="0" borderId="41" xfId="0" applyFont="1" applyBorder="1">
      <alignment vertical="center"/>
    </xf>
    <xf numFmtId="0" fontId="6" fillId="0" borderId="0" xfId="0" applyFont="1">
      <alignment vertical="center"/>
    </xf>
    <xf numFmtId="0" fontId="12" fillId="6" borderId="25" xfId="0" applyFont="1" applyFill="1" applyBorder="1" applyAlignment="1">
      <alignment horizontal="center" vertical="center"/>
    </xf>
    <xf numFmtId="0" fontId="9" fillId="6" borderId="25" xfId="4" applyFont="1" applyFill="1" applyBorder="1" applyAlignment="1" applyProtection="1">
      <alignment horizontal="center" vertical="center"/>
      <protection hidden="1"/>
    </xf>
    <xf numFmtId="0" fontId="10" fillId="0" borderId="43" xfId="0" applyFont="1" applyBorder="1" applyAlignment="1">
      <alignment horizontal="center" vertical="center"/>
    </xf>
    <xf numFmtId="176" fontId="9" fillId="0" borderId="25" xfId="1" applyFont="1" applyFill="1" applyBorder="1">
      <alignment vertical="center"/>
    </xf>
    <xf numFmtId="176" fontId="10" fillId="0" borderId="25" xfId="1" applyFont="1" applyFill="1" applyBorder="1" applyAlignment="1">
      <alignment horizontal="center" vertical="center"/>
    </xf>
    <xf numFmtId="176" fontId="10" fillId="0" borderId="25" xfId="1" applyFont="1" applyFill="1" applyBorder="1">
      <alignment vertical="center"/>
    </xf>
    <xf numFmtId="0" fontId="17" fillId="0" borderId="14" xfId="0" applyFont="1" applyBorder="1" applyProtection="1">
      <alignment vertical="center"/>
      <protection locked="0"/>
    </xf>
    <xf numFmtId="0" fontId="10" fillId="0" borderId="15" xfId="0" applyFont="1" applyBorder="1">
      <alignment vertical="center"/>
    </xf>
    <xf numFmtId="0" fontId="10" fillId="0" borderId="0" xfId="0" applyFont="1">
      <alignment vertical="center"/>
    </xf>
    <xf numFmtId="0" fontId="9" fillId="6" borderId="15" xfId="4" applyFont="1" applyFill="1" applyBorder="1" applyAlignment="1" applyProtection="1">
      <alignment horizontal="center" vertical="center"/>
      <protection hidden="1"/>
    </xf>
    <xf numFmtId="0" fontId="9" fillId="6" borderId="30" xfId="4" applyFont="1" applyFill="1" applyBorder="1" applyAlignment="1" applyProtection="1">
      <alignment horizontal="center" vertical="center"/>
      <protection hidden="1"/>
    </xf>
    <xf numFmtId="179" fontId="9" fillId="6" borderId="31" xfId="4" applyNumberFormat="1" applyFont="1" applyFill="1" applyBorder="1" applyAlignment="1" applyProtection="1">
      <alignment horizontal="center" vertical="center"/>
      <protection hidden="1"/>
    </xf>
    <xf numFmtId="0" fontId="9" fillId="0" borderId="15" xfId="4" applyFont="1" applyBorder="1" applyAlignment="1" applyProtection="1">
      <alignment horizontal="center" vertical="center"/>
      <protection hidden="1"/>
    </xf>
    <xf numFmtId="0" fontId="9" fillId="0" borderId="15" xfId="4" applyFont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0" fillId="0" borderId="33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0" fillId="0" borderId="0" xfId="0" applyFont="1" applyAlignment="1">
      <alignment horizontal="center" vertical="center"/>
    </xf>
    <xf numFmtId="176" fontId="10" fillId="0" borderId="0" xfId="1" applyFont="1" applyFill="1" applyBorder="1">
      <alignment vertical="center"/>
    </xf>
    <xf numFmtId="176" fontId="10" fillId="0" borderId="0" xfId="1" applyFont="1" applyFill="1" applyBorder="1" applyAlignment="1">
      <alignment horizontal="center" vertical="center"/>
    </xf>
    <xf numFmtId="176" fontId="10" fillId="0" borderId="43" xfId="0" applyNumberFormat="1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176" fontId="0" fillId="0" borderId="0" xfId="1" applyFont="1">
      <alignment vertical="center"/>
    </xf>
    <xf numFmtId="0" fontId="17" fillId="0" borderId="0" xfId="0" applyFont="1" applyProtection="1">
      <alignment vertical="center"/>
      <protection locked="0"/>
    </xf>
    <xf numFmtId="0" fontId="7" fillId="0" borderId="15" xfId="0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 applyAlignment="1" applyProtection="1">
      <alignment horizontal="center" vertical="center"/>
      <protection locked="0"/>
    </xf>
    <xf numFmtId="0" fontId="32" fillId="0" borderId="0" xfId="0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1" fillId="4" borderId="0" xfId="0" applyFont="1" applyFill="1" applyProtection="1">
      <alignment vertical="center"/>
      <protection locked="0"/>
    </xf>
    <xf numFmtId="0" fontId="32" fillId="0" borderId="47" xfId="0" applyFont="1" applyBorder="1" applyProtection="1">
      <alignment vertical="center"/>
      <protection locked="0"/>
    </xf>
    <xf numFmtId="184" fontId="32" fillId="0" borderId="0" xfId="0" applyNumberFormat="1" applyFont="1" applyProtection="1">
      <alignment vertical="center"/>
      <protection locked="0"/>
    </xf>
    <xf numFmtId="0" fontId="33" fillId="0" borderId="0" xfId="0" applyFont="1" applyProtection="1">
      <alignment vertical="center"/>
      <protection locked="0"/>
    </xf>
    <xf numFmtId="10" fontId="32" fillId="0" borderId="0" xfId="3" applyNumberFormat="1" applyFont="1" applyFill="1" applyProtection="1">
      <alignment vertical="center"/>
      <protection locked="0"/>
    </xf>
    <xf numFmtId="0" fontId="25" fillId="0" borderId="0" xfId="0" applyFont="1" applyAlignment="1">
      <alignment horizontal="right" vertical="center"/>
    </xf>
    <xf numFmtId="0" fontId="25" fillId="0" borderId="0" xfId="0" applyFont="1" applyProtection="1">
      <alignment vertical="center"/>
      <protection locked="0"/>
    </xf>
    <xf numFmtId="0" fontId="31" fillId="0" borderId="60" xfId="0" applyFont="1" applyBorder="1" applyAlignment="1" applyProtection="1">
      <alignment horizontal="center" vertical="center"/>
      <protection locked="0"/>
    </xf>
    <xf numFmtId="0" fontId="31" fillId="0" borderId="61" xfId="0" applyFont="1" applyBorder="1" applyAlignment="1" applyProtection="1">
      <alignment horizontal="center" vertical="center"/>
      <protection locked="0"/>
    </xf>
    <xf numFmtId="0" fontId="31" fillId="0" borderId="62" xfId="0" applyFont="1" applyBorder="1" applyAlignment="1" applyProtection="1">
      <alignment horizontal="center" vertical="center"/>
      <protection locked="0"/>
    </xf>
    <xf numFmtId="0" fontId="32" fillId="0" borderId="63" xfId="0" applyFont="1" applyBorder="1" applyProtection="1">
      <alignment vertical="center"/>
      <protection locked="0"/>
    </xf>
    <xf numFmtId="10" fontId="0" fillId="0" borderId="0" xfId="3" applyNumberFormat="1" applyFont="1" applyFill="1">
      <alignment vertical="center"/>
    </xf>
    <xf numFmtId="0" fontId="25" fillId="0" borderId="0" xfId="0" applyFont="1">
      <alignment vertical="center"/>
    </xf>
    <xf numFmtId="0" fontId="31" fillId="0" borderId="43" xfId="0" applyFont="1" applyBorder="1" applyAlignment="1" applyProtection="1">
      <alignment horizontal="left" vertical="center"/>
      <protection locked="0"/>
    </xf>
    <xf numFmtId="0" fontId="32" fillId="0" borderId="69" xfId="0" applyFont="1" applyBorder="1" applyProtection="1">
      <alignment vertical="center"/>
      <protection locked="0"/>
    </xf>
    <xf numFmtId="0" fontId="32" fillId="0" borderId="70" xfId="0" applyFont="1" applyBorder="1" applyAlignment="1" applyProtection="1">
      <alignment horizontal="center" vertical="center"/>
      <protection locked="0"/>
    </xf>
    <xf numFmtId="0" fontId="31" fillId="0" borderId="71" xfId="0" applyFont="1" applyBorder="1" applyAlignment="1" applyProtection="1">
      <alignment horizontal="center" vertical="center"/>
      <protection locked="0"/>
    </xf>
    <xf numFmtId="0" fontId="31" fillId="0" borderId="72" xfId="0" applyFont="1" applyBorder="1" applyAlignment="1" applyProtection="1">
      <alignment horizontal="center" vertical="center"/>
      <protection locked="0"/>
    </xf>
    <xf numFmtId="0" fontId="31" fillId="0" borderId="73" xfId="0" applyFont="1" applyBorder="1" applyAlignment="1" applyProtection="1">
      <alignment horizontal="center" vertical="center"/>
      <protection locked="0"/>
    </xf>
    <xf numFmtId="0" fontId="32" fillId="0" borderId="72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31" fillId="0" borderId="78" xfId="0" applyFont="1" applyBorder="1" applyAlignment="1" applyProtection="1">
      <alignment horizontal="left" vertical="center"/>
      <protection locked="0"/>
    </xf>
    <xf numFmtId="0" fontId="32" fillId="0" borderId="80" xfId="0" applyFont="1" applyBorder="1" applyProtection="1">
      <alignment vertical="center"/>
      <protection locked="0"/>
    </xf>
    <xf numFmtId="0" fontId="32" fillId="0" borderId="51" xfId="0" applyFont="1" applyBorder="1" applyAlignment="1" applyProtection="1">
      <alignment horizontal="center" vertical="center"/>
      <protection locked="0"/>
    </xf>
    <xf numFmtId="0" fontId="31" fillId="0" borderId="81" xfId="0" applyFont="1" applyBorder="1" applyProtection="1">
      <alignment vertical="center"/>
      <protection locked="0"/>
    </xf>
    <xf numFmtId="0" fontId="32" fillId="0" borderId="81" xfId="0" applyFont="1" applyBorder="1" applyProtection="1">
      <alignment vertical="center"/>
      <protection locked="0"/>
    </xf>
    <xf numFmtId="176" fontId="32" fillId="0" borderId="82" xfId="1" applyFont="1" applyFill="1" applyBorder="1" applyProtection="1">
      <alignment vertical="center"/>
      <protection locked="0"/>
    </xf>
    <xf numFmtId="0" fontId="38" fillId="0" borderId="15" xfId="0" applyFont="1" applyBorder="1" applyAlignment="1">
      <alignment horizontal="center" vertical="center"/>
    </xf>
    <xf numFmtId="0" fontId="36" fillId="0" borderId="0" xfId="0" applyFont="1" applyAlignment="1" applyProtection="1">
      <alignment horizontal="right" vertical="center"/>
      <protection locked="0"/>
    </xf>
    <xf numFmtId="176" fontId="32" fillId="0" borderId="79" xfId="1" applyFont="1" applyFill="1" applyBorder="1" applyAlignment="1" applyProtection="1">
      <alignment horizontal="center" vertical="center"/>
      <protection locked="0"/>
    </xf>
    <xf numFmtId="0" fontId="39" fillId="0" borderId="89" xfId="0" applyFont="1" applyBorder="1" applyProtection="1">
      <alignment vertical="center"/>
      <protection locked="0"/>
    </xf>
    <xf numFmtId="0" fontId="32" fillId="0" borderId="90" xfId="0" applyFont="1" applyBorder="1" applyProtection="1">
      <alignment vertical="center"/>
      <protection locked="0"/>
    </xf>
    <xf numFmtId="176" fontId="32" fillId="0" borderId="90" xfId="0" applyNumberFormat="1" applyFont="1" applyBorder="1" applyProtection="1">
      <alignment vertical="center"/>
      <protection locked="0"/>
    </xf>
    <xf numFmtId="176" fontId="32" fillId="0" borderId="91" xfId="1" applyFont="1" applyFill="1" applyBorder="1" applyProtection="1">
      <alignment vertical="center"/>
      <protection locked="0"/>
    </xf>
    <xf numFmtId="9" fontId="0" fillId="0" borderId="15" xfId="0" applyNumberFormat="1" applyBorder="1" applyAlignment="1">
      <alignment horizontal="center" vertical="center"/>
    </xf>
    <xf numFmtId="0" fontId="31" fillId="0" borderId="98" xfId="0" applyFont="1" applyBorder="1" applyAlignment="1" applyProtection="1">
      <alignment horizontal="left" vertical="center"/>
      <protection locked="0"/>
    </xf>
    <xf numFmtId="176" fontId="32" fillId="0" borderId="90" xfId="1" applyFont="1" applyFill="1" applyBorder="1" applyAlignment="1" applyProtection="1">
      <alignment horizontal="center" vertical="center"/>
      <protection locked="0"/>
    </xf>
    <xf numFmtId="0" fontId="39" fillId="0" borderId="99" xfId="0" applyFont="1" applyBorder="1" applyProtection="1">
      <alignment vertical="center"/>
      <protection locked="0"/>
    </xf>
    <xf numFmtId="176" fontId="32" fillId="0" borderId="72" xfId="1" applyFont="1" applyFill="1" applyBorder="1" applyProtection="1">
      <alignment vertical="center"/>
      <protection locked="0"/>
    </xf>
    <xf numFmtId="176" fontId="32" fillId="0" borderId="73" xfId="1" applyFont="1" applyFill="1" applyBorder="1" applyProtection="1">
      <alignment vertical="center"/>
      <protection locked="0"/>
    </xf>
    <xf numFmtId="176" fontId="25" fillId="0" borderId="0" xfId="0" applyNumberFormat="1" applyFont="1" applyProtection="1">
      <alignment vertical="center"/>
      <protection locked="0"/>
    </xf>
    <xf numFmtId="0" fontId="31" fillId="0" borderId="105" xfId="0" applyFont="1" applyBorder="1" applyAlignment="1" applyProtection="1">
      <alignment horizontal="left" vertical="center"/>
      <protection locked="0"/>
    </xf>
    <xf numFmtId="176" fontId="32" fillId="0" borderId="72" xfId="1" applyFont="1" applyFill="1" applyBorder="1" applyAlignment="1" applyProtection="1">
      <alignment horizontal="center" vertical="center"/>
      <protection locked="0"/>
    </xf>
    <xf numFmtId="0" fontId="32" fillId="0" borderId="25" xfId="0" applyFont="1" applyBorder="1" applyProtection="1">
      <alignment vertical="center"/>
      <protection locked="0"/>
    </xf>
    <xf numFmtId="176" fontId="32" fillId="0" borderId="25" xfId="0" applyNumberFormat="1" applyFont="1" applyBorder="1" applyProtection="1">
      <alignment vertical="center"/>
      <protection locked="0"/>
    </xf>
    <xf numFmtId="176" fontId="32" fillId="0" borderId="69" xfId="1" applyFont="1" applyFill="1" applyBorder="1" applyProtection="1">
      <alignment vertical="center"/>
      <protection locked="0"/>
    </xf>
    <xf numFmtId="176" fontId="32" fillId="0" borderId="25" xfId="1" applyFont="1" applyFill="1" applyBorder="1" applyAlignment="1" applyProtection="1">
      <alignment horizontal="center" vertical="center"/>
      <protection locked="0"/>
    </xf>
    <xf numFmtId="176" fontId="32" fillId="0" borderId="25" xfId="1" applyFont="1" applyFill="1" applyBorder="1" applyProtection="1">
      <alignment vertical="center"/>
      <protection locked="0"/>
    </xf>
    <xf numFmtId="176" fontId="32" fillId="0" borderId="0" xfId="0" applyNumberFormat="1" applyFont="1" applyProtection="1">
      <alignment vertical="center"/>
      <protection locked="0"/>
    </xf>
    <xf numFmtId="0" fontId="41" fillId="5" borderId="0" xfId="0" applyFont="1" applyFill="1" applyProtection="1">
      <alignment vertical="center"/>
      <protection locked="0"/>
    </xf>
    <xf numFmtId="182" fontId="38" fillId="0" borderId="15" xfId="0" applyNumberFormat="1" applyFont="1" applyBorder="1" applyAlignment="1">
      <alignment horizontal="center" vertical="center"/>
    </xf>
    <xf numFmtId="176" fontId="42" fillId="5" borderId="0" xfId="1" applyFont="1" applyFill="1" applyProtection="1">
      <alignment vertical="center"/>
      <protection locked="0"/>
    </xf>
    <xf numFmtId="0" fontId="32" fillId="0" borderId="69" xfId="0" applyFont="1" applyBorder="1" applyAlignment="1" applyProtection="1">
      <alignment horizontal="center" vertical="center"/>
      <protection locked="0"/>
    </xf>
    <xf numFmtId="176" fontId="25" fillId="5" borderId="0" xfId="0" applyNumberFormat="1" applyFont="1" applyFill="1" applyProtection="1">
      <alignment vertical="center"/>
      <protection locked="0"/>
    </xf>
    <xf numFmtId="177" fontId="32" fillId="0" borderId="25" xfId="1" applyNumberFormat="1" applyFont="1" applyFill="1" applyBorder="1" applyAlignment="1" applyProtection="1">
      <alignment horizontal="center" vertical="center"/>
      <protection locked="0"/>
    </xf>
    <xf numFmtId="0" fontId="32" fillId="0" borderId="51" xfId="0" applyFont="1" applyBorder="1" applyAlignment="1">
      <alignment horizontal="center" vertical="center"/>
    </xf>
    <xf numFmtId="0" fontId="39" fillId="0" borderId="115" xfId="0" applyFont="1" applyBorder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176" fontId="32" fillId="0" borderId="15" xfId="1" applyFont="1" applyFill="1" applyBorder="1" applyProtection="1">
      <alignment vertical="center"/>
      <protection locked="0"/>
    </xf>
    <xf numFmtId="0" fontId="39" fillId="0" borderId="74" xfId="0" applyFont="1" applyBorder="1" applyProtection="1">
      <alignment vertical="center"/>
      <protection locked="0"/>
    </xf>
    <xf numFmtId="0" fontId="22" fillId="0" borderId="63" xfId="0" applyFont="1" applyBorder="1" applyAlignment="1" applyProtection="1">
      <alignment horizontal="center" vertical="center"/>
      <protection locked="0"/>
    </xf>
    <xf numFmtId="176" fontId="45" fillId="5" borderId="0" xfId="0" applyNumberFormat="1" applyFont="1" applyFill="1" applyProtection="1">
      <alignment vertical="center"/>
      <protection locked="0"/>
    </xf>
    <xf numFmtId="176" fontId="32" fillId="0" borderId="15" xfId="0" applyNumberFormat="1" applyFont="1" applyBorder="1" applyProtection="1">
      <alignment vertical="center"/>
      <protection locked="0"/>
    </xf>
    <xf numFmtId="0" fontId="32" fillId="9" borderId="0" xfId="0" applyFont="1" applyFill="1" applyAlignment="1" applyProtection="1">
      <alignment horizontal="center" vertical="center"/>
      <protection locked="0"/>
    </xf>
    <xf numFmtId="0" fontId="31" fillId="0" borderId="121" xfId="0" applyFont="1" applyBorder="1" applyProtection="1">
      <alignment vertical="center"/>
      <protection locked="0"/>
    </xf>
    <xf numFmtId="0" fontId="32" fillId="0" borderId="122" xfId="0" applyFont="1" applyBorder="1" applyProtection="1">
      <alignment vertical="center"/>
      <protection locked="0"/>
    </xf>
    <xf numFmtId="0" fontId="31" fillId="0" borderId="118" xfId="0" applyFont="1" applyBorder="1" applyProtection="1">
      <alignment vertical="center"/>
      <protection locked="0"/>
    </xf>
    <xf numFmtId="176" fontId="32" fillId="0" borderId="123" xfId="1" applyFont="1" applyFill="1" applyBorder="1" applyProtection="1">
      <alignment vertical="center"/>
      <protection locked="0"/>
    </xf>
    <xf numFmtId="0" fontId="36" fillId="5" borderId="0" xfId="0" applyFont="1" applyFill="1" applyAlignment="1" applyProtection="1">
      <alignment horizontal="right" vertical="center"/>
      <protection locked="0"/>
    </xf>
    <xf numFmtId="0" fontId="25" fillId="0" borderId="63" xfId="0" applyFont="1" applyBorder="1" applyAlignment="1" applyProtection="1">
      <alignment horizontal="right" vertical="center"/>
      <protection locked="0"/>
    </xf>
    <xf numFmtId="176" fontId="45" fillId="5" borderId="0" xfId="1" applyFont="1" applyFill="1" applyProtection="1">
      <alignment vertical="center"/>
      <protection locked="0"/>
    </xf>
    <xf numFmtId="176" fontId="25" fillId="11" borderId="0" xfId="1" applyFont="1" applyFill="1" applyProtection="1">
      <alignment vertical="center"/>
      <protection locked="0"/>
    </xf>
    <xf numFmtId="0" fontId="7" fillId="0" borderId="0" xfId="0" applyFont="1">
      <alignment vertical="center"/>
    </xf>
    <xf numFmtId="176" fontId="31" fillId="0" borderId="118" xfId="0" applyNumberFormat="1" applyFont="1" applyBorder="1" applyProtection="1">
      <alignment vertical="center"/>
      <protection locked="0"/>
    </xf>
    <xf numFmtId="185" fontId="32" fillId="0" borderId="123" xfId="1" applyNumberFormat="1" applyFont="1" applyFill="1" applyBorder="1" applyProtection="1">
      <alignment vertical="center"/>
      <protection locked="0"/>
    </xf>
    <xf numFmtId="176" fontId="32" fillId="0" borderId="0" xfId="1" applyFont="1" applyFill="1" applyProtection="1">
      <alignment vertical="center"/>
      <protection locked="0"/>
    </xf>
    <xf numFmtId="176" fontId="32" fillId="0" borderId="0" xfId="1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176" fontId="25" fillId="10" borderId="0" xfId="1" applyFont="1" applyFill="1" applyProtection="1">
      <alignment vertical="center"/>
      <protection locked="0"/>
    </xf>
    <xf numFmtId="176" fontId="32" fillId="5" borderId="0" xfId="1" applyFont="1" applyFill="1" applyProtection="1">
      <alignment vertical="center"/>
      <protection locked="0"/>
    </xf>
    <xf numFmtId="0" fontId="31" fillId="0" borderId="127" xfId="0" applyFont="1" applyBorder="1" applyProtection="1">
      <alignment vertical="center"/>
      <protection locked="0"/>
    </xf>
    <xf numFmtId="176" fontId="25" fillId="0" borderId="0" xfId="1" applyFont="1" applyFill="1" applyProtection="1">
      <alignment vertical="center"/>
      <protection locked="0"/>
    </xf>
    <xf numFmtId="176" fontId="32" fillId="0" borderId="123" xfId="1" applyFont="1" applyFill="1" applyBorder="1" applyAlignment="1" applyProtection="1">
      <alignment vertical="center"/>
      <protection locked="0"/>
    </xf>
    <xf numFmtId="0" fontId="31" fillId="0" borderId="126" xfId="0" applyFont="1" applyBorder="1" applyProtection="1">
      <alignment vertical="center"/>
      <protection locked="0"/>
    </xf>
    <xf numFmtId="189" fontId="32" fillId="0" borderId="0" xfId="1" applyNumberFormat="1" applyFont="1" applyFill="1" applyBorder="1" applyProtection="1">
      <alignment vertical="center"/>
      <protection locked="0"/>
    </xf>
    <xf numFmtId="190" fontId="32" fillId="0" borderId="0" xfId="0" applyNumberFormat="1" applyFont="1" applyProtection="1">
      <alignment vertical="center"/>
      <protection locked="0"/>
    </xf>
    <xf numFmtId="0" fontId="32" fillId="0" borderId="2" xfId="0" applyFont="1" applyBorder="1" applyProtection="1">
      <alignment vertical="center"/>
      <protection locked="0"/>
    </xf>
    <xf numFmtId="0" fontId="41" fillId="0" borderId="0" xfId="0" applyFont="1" applyAlignment="1" applyProtection="1">
      <alignment horizontal="right" vertical="center"/>
      <protection locked="0"/>
    </xf>
    <xf numFmtId="176" fontId="32" fillId="0" borderId="136" xfId="1" applyFont="1" applyFill="1" applyBorder="1" applyAlignment="1" applyProtection="1">
      <alignment vertical="center"/>
      <protection locked="0"/>
    </xf>
    <xf numFmtId="181" fontId="32" fillId="0" borderId="0" xfId="3" applyNumberFormat="1" applyFont="1" applyFill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10" fontId="31" fillId="0" borderId="0" xfId="3" applyNumberFormat="1" applyFont="1" applyFill="1" applyBorder="1" applyProtection="1">
      <alignment vertical="center"/>
      <protection locked="0"/>
    </xf>
    <xf numFmtId="10" fontId="31" fillId="5" borderId="15" xfId="0" applyNumberFormat="1" applyFont="1" applyFill="1" applyBorder="1" applyProtection="1">
      <alignment vertical="center"/>
      <protection locked="0"/>
    </xf>
    <xf numFmtId="0" fontId="34" fillId="0" borderId="0" xfId="0" applyFont="1">
      <alignment vertical="center"/>
    </xf>
    <xf numFmtId="0" fontId="32" fillId="0" borderId="139" xfId="0" applyFont="1" applyBorder="1" applyProtection="1">
      <alignment vertical="center"/>
      <protection locked="0"/>
    </xf>
    <xf numFmtId="10" fontId="32" fillId="0" borderId="4" xfId="3" applyNumberFormat="1" applyFont="1" applyFill="1" applyBorder="1" applyProtection="1">
      <alignment vertical="center"/>
      <protection locked="0"/>
    </xf>
    <xf numFmtId="10" fontId="47" fillId="0" borderId="2" xfId="0" applyNumberFormat="1" applyFont="1" applyBorder="1" applyProtection="1">
      <alignment vertical="center"/>
      <protection locked="0"/>
    </xf>
    <xf numFmtId="0" fontId="48" fillId="0" borderId="60" xfId="0" applyFont="1" applyBorder="1" applyAlignment="1" applyProtection="1">
      <alignment horizontal="center" vertical="center"/>
      <protection locked="0"/>
    </xf>
    <xf numFmtId="0" fontId="48" fillId="0" borderId="61" xfId="0" applyFont="1" applyBorder="1" applyAlignment="1" applyProtection="1">
      <alignment horizontal="center" vertical="center"/>
      <protection locked="0"/>
    </xf>
    <xf numFmtId="0" fontId="48" fillId="0" borderId="62" xfId="0" applyFont="1" applyBorder="1" applyAlignment="1" applyProtection="1">
      <alignment horizontal="center" vertical="center"/>
      <protection locked="0"/>
    </xf>
    <xf numFmtId="176" fontId="32" fillId="0" borderId="0" xfId="0" applyNumberFormat="1" applyFont="1" applyAlignment="1" applyProtection="1">
      <alignment horizontal="center" vertical="center"/>
      <protection locked="0"/>
    </xf>
    <xf numFmtId="193" fontId="32" fillId="16" borderId="15" xfId="3" applyNumberFormat="1" applyFont="1" applyFill="1" applyBorder="1" applyProtection="1">
      <alignment vertical="center"/>
      <protection locked="0"/>
    </xf>
    <xf numFmtId="193" fontId="32" fillId="16" borderId="15" xfId="0" applyNumberFormat="1" applyFont="1" applyFill="1" applyBorder="1" applyProtection="1">
      <alignment vertical="center"/>
      <protection locked="0"/>
    </xf>
    <xf numFmtId="0" fontId="31" fillId="0" borderId="141" xfId="0" applyFont="1" applyBorder="1" applyProtection="1">
      <alignment vertical="center"/>
      <protection locked="0"/>
    </xf>
    <xf numFmtId="176" fontId="32" fillId="0" borderId="122" xfId="0" applyNumberFormat="1" applyFont="1" applyBorder="1" applyProtection="1">
      <alignment vertical="center"/>
      <protection locked="0"/>
    </xf>
    <xf numFmtId="176" fontId="32" fillId="0" borderId="4" xfId="0" applyNumberFormat="1" applyFont="1" applyBorder="1" applyAlignment="1" applyProtection="1">
      <alignment horizontal="center" vertical="center"/>
      <protection locked="0"/>
    </xf>
    <xf numFmtId="194" fontId="32" fillId="0" borderId="0" xfId="1" applyNumberFormat="1" applyFont="1" applyFill="1" applyProtection="1">
      <alignment vertical="center"/>
      <protection locked="0"/>
    </xf>
    <xf numFmtId="0" fontId="22" fillId="0" borderId="15" xfId="0" applyFont="1" applyBorder="1" applyProtection="1">
      <alignment vertical="center"/>
      <protection locked="0"/>
    </xf>
    <xf numFmtId="42" fontId="31" fillId="0" borderId="1" xfId="2" applyFont="1" applyFill="1" applyBorder="1" applyAlignment="1" applyProtection="1">
      <alignment vertical="center"/>
      <protection locked="0"/>
    </xf>
    <xf numFmtId="195" fontId="32" fillId="0" borderId="0" xfId="1" applyNumberFormat="1" applyFont="1" applyFill="1" applyProtection="1">
      <alignment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176" fontId="25" fillId="0" borderId="0" xfId="1" applyFont="1" applyFill="1" applyAlignment="1" applyProtection="1">
      <alignment horizontal="right" vertical="center"/>
      <protection locked="0"/>
    </xf>
    <xf numFmtId="0" fontId="31" fillId="0" borderId="1" xfId="0" applyFont="1" applyBorder="1" applyProtection="1">
      <alignment vertical="center"/>
      <protection locked="0"/>
    </xf>
    <xf numFmtId="0" fontId="31" fillId="0" borderId="143" xfId="0" applyFont="1" applyBorder="1" applyProtection="1">
      <alignment vertical="center"/>
      <protection locked="0"/>
    </xf>
    <xf numFmtId="176" fontId="32" fillId="0" borderId="25" xfId="1" applyFont="1" applyFill="1" applyBorder="1" applyAlignment="1" applyProtection="1">
      <alignment horizontal="right" vertical="center"/>
      <protection locked="0"/>
    </xf>
    <xf numFmtId="0" fontId="31" fillId="0" borderId="74" xfId="0" applyFont="1" applyBorder="1" applyAlignment="1" applyProtection="1">
      <alignment horizontal="center" vertical="center"/>
      <protection locked="0"/>
    </xf>
    <xf numFmtId="0" fontId="32" fillId="0" borderId="144" xfId="0" applyFont="1" applyBorder="1" applyAlignment="1" applyProtection="1">
      <alignment horizontal="center" vertical="center"/>
      <protection locked="0"/>
    </xf>
    <xf numFmtId="181" fontId="22" fillId="5" borderId="15" xfId="3" applyNumberFormat="1" applyFont="1" applyFill="1" applyBorder="1" applyProtection="1">
      <alignment vertical="center"/>
      <protection locked="0"/>
    </xf>
    <xf numFmtId="0" fontId="21" fillId="5" borderId="15" xfId="0" applyFont="1" applyFill="1" applyBorder="1" applyProtection="1">
      <alignment vertical="center"/>
      <protection locked="0"/>
    </xf>
    <xf numFmtId="0" fontId="21" fillId="5" borderId="0" xfId="0" applyFont="1" applyFill="1" applyProtection="1">
      <alignment vertical="center"/>
      <protection locked="0"/>
    </xf>
    <xf numFmtId="176" fontId="22" fillId="5" borderId="15" xfId="0" applyNumberFormat="1" applyFont="1" applyFill="1" applyBorder="1" applyAlignment="1" applyProtection="1">
      <alignment horizontal="left" vertical="center"/>
      <protection locked="0"/>
    </xf>
    <xf numFmtId="176" fontId="8" fillId="0" borderId="0" xfId="1" applyFont="1" applyFill="1" applyProtection="1">
      <alignment vertical="center"/>
      <protection locked="0"/>
    </xf>
    <xf numFmtId="181" fontId="22" fillId="0" borderId="15" xfId="3" applyNumberFormat="1" applyFont="1" applyFill="1" applyBorder="1" applyProtection="1">
      <alignment vertical="center"/>
      <protection locked="0"/>
    </xf>
    <xf numFmtId="185" fontId="25" fillId="0" borderId="0" xfId="0" applyNumberFormat="1" applyFont="1" applyProtection="1">
      <alignment vertical="center"/>
      <protection locked="0"/>
    </xf>
    <xf numFmtId="0" fontId="32" fillId="0" borderId="15" xfId="0" applyFont="1" applyBorder="1" applyProtection="1">
      <alignment vertical="center"/>
      <protection locked="0"/>
    </xf>
    <xf numFmtId="183" fontId="25" fillId="0" borderId="0" xfId="0" applyNumberFormat="1" applyFont="1" applyProtection="1">
      <alignment vertical="center"/>
      <protection locked="0"/>
    </xf>
    <xf numFmtId="176" fontId="25" fillId="0" borderId="0" xfId="0" applyNumberFormat="1" applyFont="1" applyAlignment="1" applyProtection="1">
      <alignment horizontal="right" vertical="center"/>
      <protection locked="0"/>
    </xf>
    <xf numFmtId="176" fontId="22" fillId="0" borderId="0" xfId="0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9" fontId="25" fillId="0" borderId="0" xfId="0" applyNumberFormat="1" applyFont="1" applyAlignment="1" applyProtection="1">
      <alignment horizontal="right" vertical="center"/>
      <protection locked="0"/>
    </xf>
    <xf numFmtId="176" fontId="32" fillId="0" borderId="122" xfId="1" applyFont="1" applyFill="1" applyBorder="1" applyProtection="1">
      <alignment vertical="center"/>
      <protection locked="0"/>
    </xf>
    <xf numFmtId="0" fontId="32" fillId="0" borderId="0" xfId="0" applyFont="1" applyAlignment="1">
      <alignment horizontal="center" vertical="center"/>
    </xf>
    <xf numFmtId="0" fontId="32" fillId="0" borderId="151" xfId="0" applyFont="1" applyBorder="1" applyAlignment="1" applyProtection="1">
      <alignment horizontal="center" vertical="center"/>
      <protection locked="0"/>
    </xf>
    <xf numFmtId="0" fontId="31" fillId="0" borderId="74" xfId="0" applyFont="1" applyBorder="1" applyProtection="1">
      <alignment vertical="center"/>
      <protection locked="0"/>
    </xf>
    <xf numFmtId="0" fontId="32" fillId="6" borderId="8" xfId="0" applyFont="1" applyFill="1" applyBorder="1" applyAlignment="1" applyProtection="1">
      <alignment horizontal="center" vertical="center"/>
      <protection locked="0"/>
    </xf>
    <xf numFmtId="0" fontId="31" fillId="0" borderId="122" xfId="0" applyFont="1" applyBorder="1" applyProtection="1">
      <alignment vertical="center"/>
      <protection locked="0"/>
    </xf>
    <xf numFmtId="176" fontId="25" fillId="0" borderId="0" xfId="0" applyNumberFormat="1" applyFont="1" applyAlignment="1" applyProtection="1">
      <alignment horizontal="left" vertical="center"/>
      <protection locked="0"/>
    </xf>
    <xf numFmtId="190" fontId="31" fillId="0" borderId="81" xfId="3" applyNumberFormat="1" applyFont="1" applyFill="1" applyBorder="1" applyProtection="1">
      <alignment vertical="center"/>
      <protection locked="0"/>
    </xf>
    <xf numFmtId="176" fontId="25" fillId="0" borderId="0" xfId="1" applyFont="1" applyFill="1" applyAlignment="1" applyProtection="1">
      <alignment horizontal="left" vertical="center"/>
      <protection locked="0"/>
    </xf>
    <xf numFmtId="0" fontId="32" fillId="0" borderId="79" xfId="0" applyFont="1" applyBorder="1" applyProtection="1">
      <alignment vertical="center"/>
      <protection locked="0"/>
    </xf>
    <xf numFmtId="176" fontId="32" fillId="0" borderId="80" xfId="1" applyFont="1" applyFill="1" applyBorder="1" applyProtection="1">
      <alignment vertical="center"/>
      <protection locked="0"/>
    </xf>
    <xf numFmtId="191" fontId="32" fillId="0" borderId="0" xfId="1" applyNumberFormat="1" applyFont="1" applyFill="1" applyProtection="1">
      <alignment vertical="center"/>
      <protection locked="0"/>
    </xf>
    <xf numFmtId="9" fontId="32" fillId="0" borderId="0" xfId="3" applyFont="1" applyFill="1" applyBorder="1" applyAlignment="1" applyProtection="1">
      <alignment horizontal="center" vertical="center"/>
      <protection locked="0"/>
    </xf>
    <xf numFmtId="180" fontId="32" fillId="0" borderId="0" xfId="0" applyNumberFormat="1" applyFont="1" applyProtection="1">
      <alignment vertical="center"/>
      <protection locked="0"/>
    </xf>
    <xf numFmtId="0" fontId="29" fillId="0" borderId="0" xfId="0" applyFont="1">
      <alignment vertical="center"/>
    </xf>
    <xf numFmtId="188" fontId="31" fillId="0" borderId="113" xfId="3" applyNumberFormat="1" applyFont="1" applyFill="1" applyBorder="1" applyProtection="1">
      <alignment vertical="center"/>
      <protection locked="0"/>
    </xf>
    <xf numFmtId="196" fontId="32" fillId="0" borderId="0" xfId="0" applyNumberFormat="1" applyFont="1" applyProtection="1">
      <alignment vertical="center"/>
      <protection locked="0"/>
    </xf>
    <xf numFmtId="193" fontId="32" fillId="0" borderId="4" xfId="3" applyNumberFormat="1" applyFont="1" applyFill="1" applyBorder="1" applyProtection="1">
      <alignment vertical="center"/>
      <protection locked="0"/>
    </xf>
    <xf numFmtId="185" fontId="25" fillId="0" borderId="0" xfId="0" applyNumberFormat="1" applyFont="1" applyAlignment="1" applyProtection="1">
      <alignment horizontal="left" vertical="center"/>
      <protection locked="0"/>
    </xf>
    <xf numFmtId="10" fontId="32" fillId="16" borderId="15" xfId="3" applyNumberFormat="1" applyFont="1" applyFill="1" applyBorder="1" applyProtection="1">
      <alignment vertical="center"/>
      <protection locked="0"/>
    </xf>
    <xf numFmtId="0" fontId="31" fillId="7" borderId="15" xfId="0" applyFont="1" applyFill="1" applyBorder="1" applyProtection="1">
      <alignment vertical="center"/>
      <protection locked="0"/>
    </xf>
    <xf numFmtId="176" fontId="32" fillId="7" borderId="15" xfId="1" applyFont="1" applyFill="1" applyBorder="1" applyProtection="1">
      <alignment vertical="center"/>
      <protection locked="0"/>
    </xf>
    <xf numFmtId="0" fontId="7" fillId="0" borderId="112" xfId="3" applyNumberFormat="1" applyFont="1" applyBorder="1">
      <alignment vertical="center"/>
    </xf>
    <xf numFmtId="9" fontId="7" fillId="0" borderId="112" xfId="3" applyFont="1" applyBorder="1">
      <alignment vertical="center"/>
    </xf>
    <xf numFmtId="0" fontId="31" fillId="0" borderId="129" xfId="0" applyFont="1" applyBorder="1" applyProtection="1">
      <alignment vertical="center"/>
      <protection locked="0"/>
    </xf>
    <xf numFmtId="0" fontId="32" fillId="0" borderId="71" xfId="0" applyFont="1" applyBorder="1" applyProtection="1">
      <alignment vertical="center"/>
      <protection locked="0"/>
    </xf>
    <xf numFmtId="176" fontId="32" fillId="0" borderId="72" xfId="0" applyNumberFormat="1" applyFont="1" applyBorder="1" applyProtection="1">
      <alignment vertical="center"/>
      <protection locked="0"/>
    </xf>
    <xf numFmtId="0" fontId="32" fillId="0" borderId="155" xfId="0" applyFont="1" applyBorder="1" applyProtection="1">
      <alignment vertical="center"/>
      <protection locked="0"/>
    </xf>
    <xf numFmtId="0" fontId="31" fillId="0" borderId="156" xfId="0" applyFont="1" applyBorder="1" applyProtection="1">
      <alignment vertical="center"/>
      <protection locked="0"/>
    </xf>
    <xf numFmtId="0" fontId="32" fillId="0" borderId="157" xfId="0" applyFont="1" applyBorder="1" applyProtection="1">
      <alignment vertical="center"/>
      <protection locked="0"/>
    </xf>
    <xf numFmtId="176" fontId="32" fillId="0" borderId="158" xfId="0" applyNumberFormat="1" applyFont="1" applyBorder="1" applyProtection="1">
      <alignment vertical="center"/>
      <protection locked="0"/>
    </xf>
    <xf numFmtId="176" fontId="32" fillId="0" borderId="159" xfId="1" applyFont="1" applyFill="1" applyBorder="1" applyProtection="1">
      <alignment vertical="center"/>
      <protection locked="0"/>
    </xf>
    <xf numFmtId="0" fontId="31" fillId="0" borderId="15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48" fillId="0" borderId="15" xfId="0" applyFont="1" applyBorder="1" applyProtection="1">
      <alignment vertical="center"/>
      <protection locked="0"/>
    </xf>
    <xf numFmtId="176" fontId="51" fillId="0" borderId="15" xfId="1" applyFont="1" applyFill="1" applyBorder="1" applyProtection="1">
      <alignment vertical="center"/>
      <protection locked="0"/>
    </xf>
    <xf numFmtId="0" fontId="22" fillId="0" borderId="15" xfId="0" applyFont="1" applyBorder="1" applyAlignment="1" applyProtection="1">
      <alignment horizontal="left" vertical="center"/>
      <protection locked="0"/>
    </xf>
    <xf numFmtId="176" fontId="7" fillId="0" borderId="0" xfId="1" applyFont="1">
      <alignment vertical="center"/>
    </xf>
    <xf numFmtId="10" fontId="8" fillId="0" borderId="15" xfId="0" applyNumberFormat="1" applyFont="1" applyBorder="1" applyAlignment="1" applyProtection="1">
      <alignment horizontal="left" vertical="center"/>
      <protection locked="0"/>
    </xf>
    <xf numFmtId="0" fontId="8" fillId="0" borderId="15" xfId="0" applyFont="1" applyBorder="1" applyAlignment="1" applyProtection="1">
      <alignment horizontal="left" vertical="center"/>
      <protection locked="0"/>
    </xf>
    <xf numFmtId="176" fontId="52" fillId="0" borderId="15" xfId="1" applyFont="1" applyFill="1" applyBorder="1" applyProtection="1">
      <alignment vertical="center"/>
      <protection locked="0"/>
    </xf>
    <xf numFmtId="0" fontId="32" fillId="7" borderId="15" xfId="0" applyFont="1" applyFill="1" applyBorder="1" applyProtection="1">
      <alignment vertical="center"/>
      <protection locked="0"/>
    </xf>
    <xf numFmtId="0" fontId="53" fillId="0" borderId="15" xfId="0" applyFont="1" applyBorder="1" applyAlignment="1">
      <alignment horizontal="left" vertical="center"/>
    </xf>
    <xf numFmtId="176" fontId="30" fillId="0" borderId="15" xfId="1" applyFont="1" applyFill="1" applyBorder="1">
      <alignment vertical="center"/>
    </xf>
    <xf numFmtId="0" fontId="53" fillId="0" borderId="47" xfId="0" applyFont="1" applyBorder="1" applyAlignment="1" applyProtection="1">
      <alignment horizontal="left" vertical="center"/>
      <protection locked="0"/>
    </xf>
    <xf numFmtId="176" fontId="32" fillId="0" borderId="47" xfId="1" applyFont="1" applyFill="1" applyBorder="1" applyProtection="1">
      <alignment vertical="center"/>
      <protection locked="0"/>
    </xf>
    <xf numFmtId="176" fontId="10" fillId="0" borderId="0" xfId="0" applyNumberFormat="1" applyFont="1">
      <alignment vertical="center"/>
    </xf>
    <xf numFmtId="0" fontId="53" fillId="0" borderId="22" xfId="0" applyFont="1" applyBorder="1" applyAlignment="1">
      <alignment horizontal="left" vertical="center"/>
    </xf>
    <xf numFmtId="190" fontId="32" fillId="0" borderId="22" xfId="0" applyNumberFormat="1" applyFont="1" applyBorder="1">
      <alignment vertical="center"/>
    </xf>
    <xf numFmtId="0" fontId="53" fillId="0" borderId="15" xfId="0" applyFont="1" applyBorder="1" applyAlignment="1" applyProtection="1">
      <alignment horizontal="left" vertical="center"/>
      <protection locked="0"/>
    </xf>
    <xf numFmtId="190" fontId="32" fillId="0" borderId="15" xfId="1" applyNumberFormat="1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7" fillId="0" borderId="0" xfId="0" applyFont="1">
      <alignment vertical="center"/>
    </xf>
    <xf numFmtId="0" fontId="0" fillId="0" borderId="0" xfId="0" applyAlignment="1">
      <alignment horizontal="right" vertical="center"/>
    </xf>
    <xf numFmtId="0" fontId="61" fillId="0" borderId="0" xfId="0" applyFont="1" applyProtection="1">
      <alignment vertical="center"/>
      <protection locked="0"/>
    </xf>
    <xf numFmtId="0" fontId="62" fillId="22" borderId="0" xfId="0" applyFont="1" applyFill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center" vertical="center"/>
      <protection locked="0"/>
    </xf>
    <xf numFmtId="176" fontId="22" fillId="0" borderId="0" xfId="1" applyFont="1" applyFill="1" applyProtection="1">
      <alignment vertical="center"/>
      <protection locked="0"/>
    </xf>
    <xf numFmtId="195" fontId="22" fillId="0" borderId="0" xfId="1" applyNumberFormat="1" applyFont="1" applyFill="1" applyAlignment="1" applyProtection="1">
      <alignment horizontal="center" vertical="center"/>
      <protection locked="0"/>
    </xf>
    <xf numFmtId="0" fontId="65" fillId="0" borderId="13" xfId="0" applyFont="1" applyBorder="1" applyProtection="1">
      <alignment vertical="center"/>
      <protection locked="0"/>
    </xf>
    <xf numFmtId="0" fontId="67" fillId="0" borderId="113" xfId="0" applyFont="1" applyBorder="1" applyProtection="1">
      <alignment vertical="center"/>
      <protection locked="0"/>
    </xf>
    <xf numFmtId="0" fontId="67" fillId="0" borderId="7" xfId="0" applyFont="1" applyBorder="1" applyProtection="1">
      <alignment vertical="center"/>
      <protection locked="0"/>
    </xf>
    <xf numFmtId="0" fontId="67" fillId="0" borderId="6" xfId="0" applyFont="1" applyBorder="1" applyProtection="1">
      <alignment vertical="center"/>
      <protection locked="0"/>
    </xf>
    <xf numFmtId="0" fontId="21" fillId="0" borderId="113" xfId="0" applyFont="1" applyBorder="1" applyProtection="1">
      <alignment vertical="center"/>
      <protection locked="0"/>
    </xf>
    <xf numFmtId="176" fontId="22" fillId="0" borderId="0" xfId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95" fontId="22" fillId="0" borderId="0" xfId="0" applyNumberFormat="1" applyFont="1" applyAlignment="1" applyProtection="1">
      <alignment horizontal="center" vertical="center"/>
      <protection locked="0"/>
    </xf>
    <xf numFmtId="0" fontId="63" fillId="0" borderId="14" xfId="0" applyFont="1" applyBorder="1" applyAlignment="1" applyProtection="1">
      <alignment horizontal="center" vertical="center"/>
      <protection locked="0"/>
    </xf>
    <xf numFmtId="0" fontId="65" fillId="0" borderId="14" xfId="0" applyFont="1" applyBorder="1" applyProtection="1">
      <alignment vertical="center"/>
      <protection locked="0"/>
    </xf>
    <xf numFmtId="0" fontId="17" fillId="0" borderId="1" xfId="0" applyFont="1" applyBorder="1" applyProtection="1">
      <alignment vertical="center"/>
      <protection locked="0"/>
    </xf>
    <xf numFmtId="0" fontId="65" fillId="0" borderId="169" xfId="0" applyFont="1" applyBorder="1" applyProtection="1">
      <alignment vertical="center"/>
      <protection locked="0"/>
    </xf>
    <xf numFmtId="0" fontId="24" fillId="0" borderId="169" xfId="0" applyFont="1" applyBorder="1" applyProtection="1">
      <alignment vertical="center"/>
      <protection locked="0"/>
    </xf>
    <xf numFmtId="0" fontId="17" fillId="0" borderId="49" xfId="0" applyFont="1" applyBorder="1" applyProtection="1">
      <alignment vertical="center"/>
      <protection locked="0"/>
    </xf>
    <xf numFmtId="0" fontId="65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49" fontId="18" fillId="0" borderId="0" xfId="0" applyNumberFormat="1" applyFont="1" applyAlignment="1">
      <alignment horizontal="center" vertical="center"/>
    </xf>
    <xf numFmtId="49" fontId="68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176" fontId="18" fillId="0" borderId="0" xfId="1" applyFont="1" applyFill="1" applyAlignment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9" fontId="18" fillId="0" borderId="0" xfId="0" applyNumberFormat="1" applyFont="1" applyAlignment="1">
      <alignment horizontal="center" vertical="center"/>
    </xf>
    <xf numFmtId="177" fontId="18" fillId="0" borderId="0" xfId="0" applyNumberFormat="1" applyFont="1" applyAlignment="1" applyProtection="1">
      <alignment horizontal="center" vertical="center"/>
      <protection locked="0"/>
    </xf>
    <xf numFmtId="0" fontId="43" fillId="15" borderId="0" xfId="0" applyFont="1" applyFill="1" applyProtection="1">
      <alignment vertical="center"/>
      <protection hidden="1"/>
    </xf>
    <xf numFmtId="0" fontId="22" fillId="15" borderId="0" xfId="0" applyFont="1" applyFill="1">
      <alignment vertical="center"/>
    </xf>
    <xf numFmtId="0" fontId="22" fillId="15" borderId="0" xfId="0" applyFont="1" applyFill="1" applyProtection="1">
      <alignment vertical="center"/>
      <protection hidden="1"/>
    </xf>
    <xf numFmtId="0" fontId="70" fillId="15" borderId="0" xfId="0" applyFont="1" applyFill="1" applyProtection="1">
      <alignment vertical="center"/>
      <protection hidden="1"/>
    </xf>
    <xf numFmtId="0" fontId="21" fillId="15" borderId="25" xfId="0" applyFont="1" applyFill="1" applyBorder="1" applyAlignment="1" applyProtection="1">
      <alignment horizontal="center" vertical="center"/>
      <protection locked="0"/>
    </xf>
    <xf numFmtId="176" fontId="22" fillId="15" borderId="25" xfId="1" applyFont="1" applyFill="1" applyBorder="1" applyProtection="1">
      <alignment vertical="center"/>
      <protection locked="0"/>
    </xf>
    <xf numFmtId="0" fontId="35" fillId="15" borderId="0" xfId="0" applyFont="1" applyFill="1" applyProtection="1">
      <alignment vertical="center"/>
      <protection hidden="1"/>
    </xf>
    <xf numFmtId="0" fontId="71" fillId="15" borderId="0" xfId="0" applyFont="1" applyFill="1" applyProtection="1">
      <alignment vertical="center"/>
      <protection hidden="1"/>
    </xf>
    <xf numFmtId="0" fontId="22" fillId="15" borderId="130" xfId="0" applyFont="1" applyFill="1" applyBorder="1" applyProtection="1">
      <alignment vertical="center"/>
      <protection hidden="1"/>
    </xf>
    <xf numFmtId="0" fontId="72" fillId="15" borderId="130" xfId="0" applyFont="1" applyFill="1" applyBorder="1" applyProtection="1">
      <alignment vertical="center"/>
      <protection hidden="1"/>
    </xf>
    <xf numFmtId="0" fontId="45" fillId="15" borderId="130" xfId="0" applyFont="1" applyFill="1" applyBorder="1" applyProtection="1">
      <alignment vertical="center"/>
      <protection hidden="1"/>
    </xf>
    <xf numFmtId="0" fontId="50" fillId="0" borderId="130" xfId="0" applyFont="1" applyBorder="1">
      <alignment vertical="center"/>
    </xf>
    <xf numFmtId="0" fontId="35" fillId="15" borderId="130" xfId="0" applyFont="1" applyFill="1" applyBorder="1" applyProtection="1">
      <alignment vertical="center"/>
      <protection hidden="1"/>
    </xf>
    <xf numFmtId="0" fontId="73" fillId="15" borderId="0" xfId="0" applyFont="1" applyFill="1" applyAlignment="1" applyProtection="1">
      <alignment vertical="center" wrapText="1"/>
      <protection hidden="1"/>
    </xf>
    <xf numFmtId="0" fontId="73" fillId="15" borderId="0" xfId="0" applyFont="1" applyFill="1" applyProtection="1">
      <alignment vertical="center"/>
      <protection hidden="1"/>
    </xf>
    <xf numFmtId="0" fontId="74" fillId="0" borderId="0" xfId="0" applyFont="1" applyAlignment="1">
      <alignment horizontal="center" vertical="center" wrapText="1"/>
    </xf>
    <xf numFmtId="0" fontId="75" fillId="15" borderId="0" xfId="0" applyFont="1" applyFill="1" applyProtection="1">
      <alignment vertical="center"/>
      <protection hidden="1"/>
    </xf>
    <xf numFmtId="9" fontId="74" fillId="0" borderId="0" xfId="0" applyNumberFormat="1" applyFont="1" applyAlignment="1">
      <alignment horizontal="center" vertical="center"/>
    </xf>
    <xf numFmtId="0" fontId="10" fillId="0" borderId="182" xfId="0" applyFont="1" applyBorder="1" applyAlignment="1">
      <alignment horizontal="center" vertical="center"/>
    </xf>
    <xf numFmtId="0" fontId="10" fillId="0" borderId="42" xfId="0" applyFont="1" applyBorder="1" applyProtection="1">
      <alignment vertical="center"/>
      <protection locked="0"/>
    </xf>
    <xf numFmtId="0" fontId="10" fillId="0" borderId="42" xfId="0" applyFont="1" applyBorder="1">
      <alignment vertical="center"/>
    </xf>
    <xf numFmtId="0" fontId="10" fillId="0" borderId="31" xfId="0" applyFont="1" applyBorder="1">
      <alignment vertical="center"/>
    </xf>
    <xf numFmtId="176" fontId="10" fillId="0" borderId="42" xfId="1" applyFont="1" applyFill="1" applyBorder="1" applyAlignment="1" applyProtection="1">
      <alignment vertical="center"/>
      <protection locked="0"/>
    </xf>
    <xf numFmtId="176" fontId="10" fillId="0" borderId="42" xfId="1" applyFont="1" applyFill="1" applyBorder="1" applyAlignment="1">
      <alignment vertical="center"/>
    </xf>
    <xf numFmtId="176" fontId="10" fillId="0" borderId="183" xfId="1" applyFont="1" applyFill="1" applyBorder="1" applyAlignment="1" applyProtection="1">
      <alignment vertical="center"/>
      <protection locked="0"/>
    </xf>
    <xf numFmtId="176" fontId="10" fillId="0" borderId="31" xfId="1" applyFont="1" applyFill="1" applyBorder="1" applyAlignment="1">
      <alignment vertical="center"/>
    </xf>
    <xf numFmtId="176" fontId="22" fillId="0" borderId="0" xfId="1" applyFont="1" applyFill="1">
      <alignment vertical="center"/>
    </xf>
    <xf numFmtId="0" fontId="10" fillId="0" borderId="155" xfId="0" applyFont="1" applyBorder="1" applyAlignment="1">
      <alignment horizontal="center" vertical="center"/>
    </xf>
    <xf numFmtId="0" fontId="10" fillId="0" borderId="25" xfId="0" applyFont="1" applyBorder="1" applyProtection="1">
      <alignment vertical="center"/>
      <protection locked="0"/>
    </xf>
    <xf numFmtId="0" fontId="10" fillId="0" borderId="25" xfId="0" applyFont="1" applyBorder="1">
      <alignment vertical="center"/>
    </xf>
    <xf numFmtId="0" fontId="10" fillId="0" borderId="33" xfId="0" applyFont="1" applyBorder="1">
      <alignment vertical="center"/>
    </xf>
    <xf numFmtId="0" fontId="10" fillId="0" borderId="118" xfId="0" applyFont="1" applyBorder="1" applyProtection="1">
      <alignment vertical="center"/>
      <protection locked="0"/>
    </xf>
    <xf numFmtId="0" fontId="10" fillId="0" borderId="32" xfId="0" applyFont="1" applyBorder="1">
      <alignment vertical="center"/>
    </xf>
    <xf numFmtId="3" fontId="10" fillId="0" borderId="155" xfId="0" applyNumberFormat="1" applyFont="1" applyBorder="1">
      <alignment vertical="center"/>
    </xf>
    <xf numFmtId="176" fontId="10" fillId="0" borderId="25" xfId="39" applyFont="1" applyFill="1" applyBorder="1">
      <alignment vertical="center"/>
    </xf>
    <xf numFmtId="179" fontId="10" fillId="0" borderId="25" xfId="39" applyNumberFormat="1" applyFont="1" applyFill="1" applyBorder="1">
      <alignment vertical="center"/>
    </xf>
    <xf numFmtId="176" fontId="10" fillId="0" borderId="33" xfId="39" applyFont="1" applyFill="1" applyBorder="1">
      <alignment vertical="center"/>
    </xf>
    <xf numFmtId="176" fontId="10" fillId="0" borderId="118" xfId="39" applyFont="1" applyFill="1" applyBorder="1">
      <alignment vertical="center"/>
    </xf>
    <xf numFmtId="0" fontId="10" fillId="0" borderId="40" xfId="0" applyFont="1" applyBorder="1">
      <alignment vertical="center"/>
    </xf>
    <xf numFmtId="3" fontId="10" fillId="0" borderId="184" xfId="0" applyNumberFormat="1" applyFont="1" applyBorder="1">
      <alignment vertical="center"/>
    </xf>
    <xf numFmtId="176" fontId="10" fillId="0" borderId="44" xfId="39" applyFont="1" applyFill="1" applyBorder="1">
      <alignment vertical="center"/>
    </xf>
    <xf numFmtId="179" fontId="10" fillId="0" borderId="44" xfId="39" applyNumberFormat="1" applyFont="1" applyFill="1" applyBorder="1">
      <alignment vertical="center"/>
    </xf>
    <xf numFmtId="176" fontId="10" fillId="0" borderId="45" xfId="39" applyFont="1" applyFill="1" applyBorder="1">
      <alignment vertical="center"/>
    </xf>
    <xf numFmtId="176" fontId="10" fillId="0" borderId="185" xfId="39" applyFont="1" applyFill="1" applyBorder="1">
      <alignment vertical="center"/>
    </xf>
    <xf numFmtId="0" fontId="22" fillId="0" borderId="30" xfId="0" applyFont="1" applyBorder="1">
      <alignment vertical="center"/>
    </xf>
    <xf numFmtId="0" fontId="22" fillId="0" borderId="4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>
      <alignment vertical="center"/>
    </xf>
    <xf numFmtId="0" fontId="22" fillId="0" borderId="25" xfId="0" applyFont="1" applyBorder="1">
      <alignment vertical="center"/>
    </xf>
    <xf numFmtId="0" fontId="22" fillId="0" borderId="25" xfId="0" applyFont="1" applyBorder="1" applyAlignment="1">
      <alignment horizontal="left" vertical="center"/>
    </xf>
    <xf numFmtId="0" fontId="22" fillId="0" borderId="25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176" fontId="27" fillId="0" borderId="94" xfId="1" applyFont="1" applyBorder="1" applyAlignment="1" applyProtection="1">
      <alignment horizontal="center" vertical="center"/>
      <protection hidden="1"/>
    </xf>
    <xf numFmtId="0" fontId="22" fillId="0" borderId="40" xfId="0" applyFont="1" applyBorder="1">
      <alignment vertical="center"/>
    </xf>
    <xf numFmtId="0" fontId="22" fillId="0" borderId="44" xfId="0" applyFont="1" applyBorder="1">
      <alignment vertical="center"/>
    </xf>
    <xf numFmtId="0" fontId="22" fillId="0" borderId="44" xfId="0" applyFont="1" applyBorder="1" applyAlignment="1">
      <alignment horizontal="left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5" xfId="0" applyFont="1" applyBorder="1">
      <alignment vertical="center"/>
    </xf>
    <xf numFmtId="0" fontId="10" fillId="0" borderId="31" xfId="0" applyFont="1" applyBorder="1" applyProtection="1">
      <alignment vertical="center"/>
      <protection locked="0"/>
    </xf>
    <xf numFmtId="0" fontId="10" fillId="0" borderId="183" xfId="0" applyFont="1" applyBorder="1" applyProtection="1">
      <alignment vertical="center"/>
      <protection locked="0"/>
    </xf>
    <xf numFmtId="0" fontId="10" fillId="9" borderId="31" xfId="0" applyFont="1" applyFill="1" applyBorder="1" applyProtection="1">
      <alignment vertical="center"/>
      <protection locked="0"/>
    </xf>
    <xf numFmtId="0" fontId="10" fillId="9" borderId="183" xfId="0" applyFont="1" applyFill="1" applyBorder="1" applyProtection="1">
      <alignment vertical="center"/>
      <protection locked="0"/>
    </xf>
    <xf numFmtId="176" fontId="22" fillId="0" borderId="15" xfId="1" applyFont="1" applyFill="1" applyBorder="1">
      <alignment vertical="center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118" xfId="0" applyFont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/>
    </xf>
    <xf numFmtId="0" fontId="10" fillId="9" borderId="118" xfId="0" applyFont="1" applyFill="1" applyBorder="1" applyAlignment="1">
      <alignment horizontal="center" vertical="center"/>
    </xf>
    <xf numFmtId="0" fontId="10" fillId="0" borderId="184" xfId="0" applyFont="1" applyBorder="1" applyAlignment="1">
      <alignment horizontal="center" vertical="center"/>
    </xf>
    <xf numFmtId="0" fontId="10" fillId="0" borderId="44" xfId="0" applyFont="1" applyBorder="1" applyAlignment="1" applyProtection="1">
      <alignment horizontal="center" vertical="center"/>
      <protection locked="0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85" xfId="0" applyFont="1" applyBorder="1" applyAlignment="1">
      <alignment horizontal="center" vertical="center"/>
    </xf>
    <xf numFmtId="0" fontId="10" fillId="9" borderId="45" xfId="0" applyFont="1" applyFill="1" applyBorder="1" applyAlignment="1">
      <alignment horizontal="center" vertical="center"/>
    </xf>
    <xf numFmtId="0" fontId="10" fillId="9" borderId="185" xfId="0" applyFont="1" applyFill="1" applyBorder="1" applyAlignment="1">
      <alignment horizontal="center" vertical="center"/>
    </xf>
    <xf numFmtId="0" fontId="10" fillId="0" borderId="74" xfId="0" applyFont="1" applyBorder="1">
      <alignment vertical="center"/>
    </xf>
    <xf numFmtId="3" fontId="10" fillId="0" borderId="71" xfId="0" applyNumberFormat="1" applyFont="1" applyBorder="1">
      <alignment vertical="center"/>
    </xf>
    <xf numFmtId="176" fontId="10" fillId="0" borderId="72" xfId="39" applyFont="1" applyFill="1" applyBorder="1">
      <alignment vertical="center"/>
    </xf>
    <xf numFmtId="179" fontId="10" fillId="0" borderId="72" xfId="39" applyNumberFormat="1" applyFont="1" applyFill="1" applyBorder="1">
      <alignment vertical="center"/>
    </xf>
    <xf numFmtId="176" fontId="10" fillId="0" borderId="75" xfId="39" applyFont="1" applyFill="1" applyBorder="1">
      <alignment vertical="center"/>
    </xf>
    <xf numFmtId="176" fontId="10" fillId="0" borderId="186" xfId="39" applyFont="1" applyFill="1" applyBorder="1">
      <alignment vertical="center"/>
    </xf>
    <xf numFmtId="176" fontId="10" fillId="9" borderId="75" xfId="39" applyFont="1" applyFill="1" applyBorder="1">
      <alignment vertical="center"/>
    </xf>
    <xf numFmtId="3" fontId="77" fillId="0" borderId="187" xfId="0" applyNumberFormat="1" applyFont="1" applyBorder="1" applyAlignment="1">
      <alignment horizontal="center" vertical="center" wrapText="1" readingOrder="1"/>
    </xf>
    <xf numFmtId="176" fontId="10" fillId="9" borderId="186" xfId="39" applyFont="1" applyFill="1" applyBorder="1">
      <alignment vertical="center"/>
    </xf>
    <xf numFmtId="176" fontId="10" fillId="9" borderId="33" xfId="39" applyFont="1" applyFill="1" applyBorder="1">
      <alignment vertical="center"/>
    </xf>
    <xf numFmtId="176" fontId="10" fillId="9" borderId="118" xfId="39" applyFont="1" applyFill="1" applyBorder="1">
      <alignment vertical="center"/>
    </xf>
    <xf numFmtId="176" fontId="10" fillId="9" borderId="45" xfId="39" applyFont="1" applyFill="1" applyBorder="1">
      <alignment vertical="center"/>
    </xf>
    <xf numFmtId="0" fontId="77" fillId="0" borderId="187" xfId="0" applyFont="1" applyBorder="1" applyAlignment="1">
      <alignment horizontal="center" vertical="center" wrapText="1" readingOrder="1"/>
    </xf>
    <xf numFmtId="176" fontId="10" fillId="9" borderId="185" xfId="39" applyFont="1" applyFill="1" applyBorder="1">
      <alignment vertical="center"/>
    </xf>
    <xf numFmtId="0" fontId="35" fillId="0" borderId="25" xfId="0" applyFont="1" applyBorder="1" applyAlignment="1">
      <alignment horizontal="center" vertical="center"/>
    </xf>
    <xf numFmtId="0" fontId="35" fillId="0" borderId="25" xfId="0" applyFont="1" applyBorder="1">
      <alignment vertical="center"/>
    </xf>
    <xf numFmtId="0" fontId="80" fillId="5" borderId="187" xfId="0" applyFont="1" applyFill="1" applyBorder="1" applyAlignment="1">
      <alignment horizontal="center" vertical="center" wrapText="1" readingOrder="1"/>
    </xf>
    <xf numFmtId="0" fontId="81" fillId="24" borderId="187" xfId="0" applyFont="1" applyFill="1" applyBorder="1" applyAlignment="1">
      <alignment horizontal="center" vertical="center" wrapText="1" readingOrder="1"/>
    </xf>
    <xf numFmtId="0" fontId="82" fillId="0" borderId="187" xfId="0" applyFont="1" applyBorder="1" applyAlignment="1">
      <alignment horizontal="center" vertical="center" wrapText="1" readingOrder="1"/>
    </xf>
    <xf numFmtId="3" fontId="82" fillId="0" borderId="187" xfId="0" applyNumberFormat="1" applyFont="1" applyBorder="1" applyAlignment="1">
      <alignment horizontal="center" vertical="center" wrapText="1" readingOrder="1"/>
    </xf>
    <xf numFmtId="0" fontId="83" fillId="24" borderId="187" xfId="0" applyFont="1" applyFill="1" applyBorder="1" applyAlignment="1">
      <alignment horizontal="center" vertical="center" wrapText="1" readingOrder="1"/>
    </xf>
    <xf numFmtId="0" fontId="84" fillId="0" borderId="187" xfId="0" applyFont="1" applyBorder="1" applyAlignment="1">
      <alignment horizontal="center" vertical="center" wrapText="1" readingOrder="1"/>
    </xf>
    <xf numFmtId="3" fontId="84" fillId="0" borderId="187" xfId="0" applyNumberFormat="1" applyFont="1" applyBorder="1" applyAlignment="1">
      <alignment horizontal="center" vertical="center" wrapText="1" readingOrder="1"/>
    </xf>
    <xf numFmtId="0" fontId="8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86" fillId="0" borderId="0" xfId="0" applyFont="1" applyAlignment="1">
      <alignment horizontal="center" vertical="center"/>
    </xf>
    <xf numFmtId="0" fontId="87" fillId="0" borderId="0" xfId="0" applyFont="1">
      <alignment vertical="center"/>
    </xf>
    <xf numFmtId="0" fontId="88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3" fillId="0" borderId="15" xfId="40" applyFont="1" applyBorder="1" applyAlignment="1">
      <alignment horizontal="left" vertical="center"/>
    </xf>
    <xf numFmtId="176" fontId="10" fillId="16" borderId="15" xfId="0" applyNumberFormat="1" applyFont="1" applyFill="1" applyBorder="1">
      <alignment vertical="center"/>
    </xf>
    <xf numFmtId="0" fontId="19" fillId="0" borderId="0" xfId="0" applyFont="1">
      <alignment vertical="center"/>
    </xf>
    <xf numFmtId="176" fontId="10" fillId="0" borderId="31" xfId="1" applyFont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176" fontId="10" fillId="0" borderId="33" xfId="1" applyFont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9" fillId="0" borderId="32" xfId="4" applyFont="1" applyBorder="1" applyAlignment="1" applyProtection="1">
      <alignment horizontal="center" vertical="center"/>
      <protection hidden="1"/>
    </xf>
    <xf numFmtId="179" fontId="9" fillId="0" borderId="33" xfId="4" applyNumberFormat="1" applyFont="1" applyBorder="1" applyAlignment="1" applyProtection="1">
      <alignment horizontal="center" vertical="center"/>
      <protection hidden="1"/>
    </xf>
    <xf numFmtId="0" fontId="9" fillId="0" borderId="32" xfId="4" applyFont="1" applyBorder="1" applyAlignment="1" applyProtection="1">
      <alignment horizontal="center" vertical="center"/>
      <protection locked="0"/>
    </xf>
    <xf numFmtId="179" fontId="9" fillId="0" borderId="33" xfId="4" applyNumberFormat="1" applyFont="1" applyBorder="1" applyAlignment="1" applyProtection="1">
      <alignment horizontal="center" vertical="center"/>
      <protection locked="0"/>
    </xf>
    <xf numFmtId="0" fontId="9" fillId="11" borderId="32" xfId="4" applyFont="1" applyFill="1" applyBorder="1" applyAlignment="1" applyProtection="1">
      <alignment horizontal="center" vertical="center"/>
      <protection locked="0"/>
    </xf>
    <xf numFmtId="179" fontId="9" fillId="11" borderId="33" xfId="4" applyNumberFormat="1" applyFont="1" applyFill="1" applyBorder="1" applyAlignment="1" applyProtection="1">
      <alignment horizontal="center" vertical="center"/>
      <protection locked="0"/>
    </xf>
    <xf numFmtId="0" fontId="9" fillId="0" borderId="40" xfId="4" applyFont="1" applyBorder="1" applyAlignment="1" applyProtection="1">
      <alignment horizontal="center" vertical="center"/>
      <protection locked="0"/>
    </xf>
    <xf numFmtId="179" fontId="9" fillId="0" borderId="45" xfId="4" applyNumberFormat="1" applyFont="1" applyBorder="1" applyAlignment="1" applyProtection="1">
      <alignment horizontal="center" vertical="center"/>
      <protection locked="0"/>
    </xf>
    <xf numFmtId="0" fontId="9" fillId="11" borderId="40" xfId="4" applyFont="1" applyFill="1" applyBorder="1" applyAlignment="1" applyProtection="1">
      <alignment horizontal="center" vertical="center"/>
      <protection locked="0"/>
    </xf>
    <xf numFmtId="179" fontId="9" fillId="11" borderId="45" xfId="4" applyNumberFormat="1" applyFont="1" applyFill="1" applyBorder="1" applyAlignment="1" applyProtection="1">
      <alignment horizontal="center" vertical="center"/>
      <protection locked="0"/>
    </xf>
    <xf numFmtId="179" fontId="9" fillId="0" borderId="0" xfId="4" applyNumberFormat="1" applyFont="1" applyAlignment="1" applyProtection="1">
      <alignment horizontal="center" vertical="center"/>
      <protection locked="0"/>
    </xf>
    <xf numFmtId="0" fontId="10" fillId="6" borderId="30" xfId="0" applyFont="1" applyFill="1" applyBorder="1" applyProtection="1">
      <alignment vertical="center"/>
      <protection locked="0"/>
    </xf>
    <xf numFmtId="176" fontId="10" fillId="0" borderId="75" xfId="1" applyFont="1" applyBorder="1" applyProtection="1">
      <alignment vertical="center"/>
      <protection locked="0"/>
    </xf>
    <xf numFmtId="0" fontId="10" fillId="6" borderId="188" xfId="0" applyFont="1" applyFill="1" applyBorder="1" applyProtection="1">
      <alignment vertical="center"/>
      <protection locked="0"/>
    </xf>
    <xf numFmtId="176" fontId="10" fillId="0" borderId="189" xfId="1" applyFont="1" applyBorder="1" applyProtection="1">
      <alignment vertical="center"/>
      <protection locked="0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29" fillId="0" borderId="0" xfId="0" applyFont="1" applyAlignment="1">
      <alignment horizontal="right" vertical="center"/>
    </xf>
    <xf numFmtId="0" fontId="98" fillId="0" borderId="0" xfId="0" applyFont="1">
      <alignment vertical="center"/>
    </xf>
    <xf numFmtId="0" fontId="98" fillId="0" borderId="0" xfId="0" applyFont="1" applyAlignment="1">
      <alignment horizontal="right" vertical="center"/>
    </xf>
    <xf numFmtId="0" fontId="33" fillId="0" borderId="0" xfId="0" applyFont="1" applyAlignment="1" applyProtection="1">
      <alignment horizontal="right" vertical="center"/>
      <protection locked="0"/>
    </xf>
    <xf numFmtId="0" fontId="29" fillId="0" borderId="0" xfId="0" applyFont="1" applyProtection="1">
      <alignment vertical="center"/>
      <protection locked="0"/>
    </xf>
    <xf numFmtId="0" fontId="22" fillId="5" borderId="25" xfId="0" applyFont="1" applyFill="1" applyBorder="1" applyAlignment="1">
      <alignment horizontal="center" vertical="center"/>
    </xf>
    <xf numFmtId="0" fontId="93" fillId="18" borderId="15" xfId="40" applyFont="1" applyFill="1" applyBorder="1" applyAlignment="1">
      <alignment horizontal="center" vertical="center"/>
    </xf>
    <xf numFmtId="0" fontId="94" fillId="18" borderId="15" xfId="4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180" fontId="25" fillId="5" borderId="0" xfId="0" applyNumberFormat="1" applyFont="1" applyFill="1" applyProtection="1">
      <alignment vertical="center"/>
      <protection locked="0"/>
    </xf>
    <xf numFmtId="176" fontId="41" fillId="5" borderId="0" xfId="0" applyNumberFormat="1" applyFont="1" applyFill="1" applyProtection="1">
      <alignment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15" fillId="0" borderId="15" xfId="0" applyFont="1" applyBorder="1" applyAlignment="1">
      <alignment horizontal="center" vertical="center"/>
    </xf>
    <xf numFmtId="178" fontId="16" fillId="0" borderId="15" xfId="5" applyNumberFormat="1" applyFont="1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0" fillId="11" borderId="15" xfId="0" applyFont="1" applyFill="1" applyBorder="1" applyAlignment="1">
      <alignment horizontal="center" vertical="center"/>
    </xf>
    <xf numFmtId="0" fontId="100" fillId="20" borderId="15" xfId="0" applyFont="1" applyFill="1" applyBorder="1" applyAlignment="1">
      <alignment horizontal="right" vertical="center"/>
    </xf>
    <xf numFmtId="9" fontId="97" fillId="15" borderId="15" xfId="0" applyNumberFormat="1" applyFont="1" applyFill="1" applyBorder="1" applyAlignment="1">
      <alignment horizontal="center" vertical="center"/>
    </xf>
    <xf numFmtId="176" fontId="0" fillId="5" borderId="0" xfId="0" applyNumberFormat="1" applyFill="1">
      <alignment vertical="center"/>
    </xf>
    <xf numFmtId="0" fontId="38" fillId="0" borderId="0" xfId="0" applyFont="1" applyAlignment="1">
      <alignment horizontal="center" vertical="center"/>
    </xf>
    <xf numFmtId="182" fontId="38" fillId="0" borderId="0" xfId="0" applyNumberFormat="1" applyFont="1" applyAlignment="1">
      <alignment horizontal="center" vertical="center"/>
    </xf>
    <xf numFmtId="0" fontId="95" fillId="26" borderId="0" xfId="0" applyFont="1" applyFill="1">
      <alignment vertical="center"/>
    </xf>
    <xf numFmtId="0" fontId="26" fillId="0" borderId="0" xfId="0" applyFont="1" applyAlignment="1">
      <alignment horizontal="right" vertical="center"/>
    </xf>
    <xf numFmtId="176" fontId="29" fillId="5" borderId="0" xfId="0" applyNumberFormat="1" applyFont="1" applyFill="1">
      <alignment vertical="center"/>
    </xf>
    <xf numFmtId="0" fontId="6" fillId="0" borderId="0" xfId="0" applyFont="1" applyProtection="1">
      <alignment vertical="center"/>
      <protection locked="0"/>
    </xf>
    <xf numFmtId="0" fontId="101" fillId="0" borderId="0" xfId="0" applyFont="1" applyProtection="1">
      <alignment vertical="center"/>
      <protection locked="0"/>
    </xf>
    <xf numFmtId="0" fontId="46" fillId="0" borderId="0" xfId="0" applyFont="1" applyAlignment="1">
      <alignment horizontal="center" vertical="center"/>
    </xf>
    <xf numFmtId="181" fontId="93" fillId="7" borderId="15" xfId="40" applyNumberFormat="1" applyFont="1" applyFill="1" applyBorder="1" applyAlignment="1">
      <alignment horizontal="center" vertical="center"/>
    </xf>
    <xf numFmtId="10" fontId="31" fillId="0" borderId="6" xfId="3" applyNumberFormat="1" applyFont="1" applyFill="1" applyBorder="1" applyProtection="1">
      <alignment vertical="center"/>
      <protection locked="0"/>
    </xf>
    <xf numFmtId="178" fontId="0" fillId="0" borderId="0" xfId="0" applyNumberFormat="1">
      <alignment vertical="center"/>
    </xf>
    <xf numFmtId="0" fontId="33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105" fillId="0" borderId="0" xfId="0" applyFont="1" applyProtection="1">
      <alignment vertical="center"/>
      <protection locked="0"/>
    </xf>
    <xf numFmtId="0" fontId="107" fillId="0" borderId="0" xfId="0" applyFont="1" applyProtection="1">
      <alignment vertical="center"/>
      <protection locked="0"/>
    </xf>
    <xf numFmtId="0" fontId="104" fillId="0" borderId="0" xfId="0" applyFont="1" applyProtection="1">
      <alignment vertical="center"/>
      <protection locked="0"/>
    </xf>
    <xf numFmtId="0" fontId="105" fillId="0" borderId="0" xfId="0" applyFont="1" applyAlignment="1" applyProtection="1">
      <protection locked="0"/>
    </xf>
    <xf numFmtId="0" fontId="109" fillId="0" borderId="0" xfId="0" applyFont="1" applyProtection="1">
      <alignment vertical="center"/>
      <protection hidden="1"/>
    </xf>
    <xf numFmtId="0" fontId="106" fillId="0" borderId="0" xfId="0" applyFont="1" applyProtection="1">
      <alignment vertical="center"/>
      <protection locked="0"/>
    </xf>
    <xf numFmtId="0" fontId="108" fillId="0" borderId="0" xfId="0" applyFont="1" applyProtection="1">
      <alignment vertical="center"/>
      <protection locked="0"/>
    </xf>
    <xf numFmtId="0" fontId="23" fillId="5" borderId="0" xfId="0" applyFont="1" applyFill="1" applyAlignment="1" applyProtection="1">
      <alignment horizontal="center" vertical="center"/>
      <protection locked="0"/>
    </xf>
    <xf numFmtId="10" fontId="110" fillId="0" borderId="2" xfId="0" applyNumberFormat="1" applyFont="1" applyBorder="1" applyProtection="1">
      <alignment vertical="center"/>
      <protection locked="0"/>
    </xf>
    <xf numFmtId="0" fontId="31" fillId="5" borderId="2" xfId="0" applyFont="1" applyFill="1" applyBorder="1" applyProtection="1">
      <alignment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197" fontId="18" fillId="0" borderId="0" xfId="0" applyNumberFormat="1" applyFont="1" applyAlignment="1">
      <alignment horizontal="center" vertical="center"/>
    </xf>
    <xf numFmtId="0" fontId="18" fillId="0" borderId="0" xfId="3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68" fillId="0" borderId="0" xfId="0" applyFont="1" applyAlignment="1" applyProtection="1">
      <alignment horizontal="center" vertical="center"/>
      <protection locked="0"/>
    </xf>
    <xf numFmtId="0" fontId="18" fillId="0" borderId="0" xfId="10" applyFont="1" applyAlignment="1">
      <alignment horizontal="center" vertical="center"/>
    </xf>
    <xf numFmtId="0" fontId="18" fillId="0" borderId="0" xfId="31" applyFont="1" applyAlignment="1">
      <alignment horizontal="center" vertical="center"/>
    </xf>
    <xf numFmtId="0" fontId="18" fillId="0" borderId="0" xfId="32" applyFont="1" applyAlignment="1">
      <alignment horizontal="center" vertical="center"/>
    </xf>
    <xf numFmtId="0" fontId="18" fillId="0" borderId="0" xfId="28" applyFont="1" applyAlignment="1">
      <alignment horizontal="center" vertical="center"/>
    </xf>
    <xf numFmtId="0" fontId="18" fillId="0" borderId="0" xfId="29" applyFont="1" applyAlignment="1">
      <alignment horizontal="center" vertical="center"/>
    </xf>
    <xf numFmtId="181" fontId="18" fillId="0" borderId="0" xfId="3" applyNumberFormat="1" applyFont="1" applyFill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65" fillId="0" borderId="49" xfId="0" applyFont="1" applyBorder="1" applyProtection="1">
      <alignment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176" fontId="0" fillId="0" borderId="0" xfId="1" applyFont="1" applyFill="1" applyBorder="1">
      <alignment vertical="center"/>
    </xf>
    <xf numFmtId="176" fontId="0" fillId="0" borderId="15" xfId="1" applyFont="1" applyFill="1" applyBorder="1">
      <alignment vertical="center"/>
    </xf>
    <xf numFmtId="0" fontId="22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0" borderId="15" xfId="0" applyFont="1" applyBorder="1" applyAlignment="1" applyProtection="1">
      <alignment horizontal="left" vertical="center"/>
      <protection locked="0"/>
    </xf>
    <xf numFmtId="0" fontId="16" fillId="0" borderId="15" xfId="0" applyFont="1" applyBorder="1" applyProtection="1">
      <alignment vertical="center"/>
      <protection locked="0"/>
    </xf>
    <xf numFmtId="0" fontId="22" fillId="0" borderId="13" xfId="0" applyFont="1" applyBorder="1" applyProtection="1">
      <alignment vertical="center"/>
      <protection locked="0"/>
    </xf>
    <xf numFmtId="0" fontId="17" fillId="0" borderId="14" xfId="0" applyFont="1" applyBorder="1" applyAlignment="1" applyProtection="1">
      <alignment horizontal="left" vertical="center"/>
      <protection locked="0"/>
    </xf>
    <xf numFmtId="0" fontId="45" fillId="0" borderId="14" xfId="0" applyFont="1" applyBorder="1" applyProtection="1">
      <alignment vertical="center"/>
      <protection locked="0"/>
    </xf>
    <xf numFmtId="0" fontId="45" fillId="0" borderId="49" xfId="0" applyFont="1" applyBorder="1" applyProtection="1">
      <alignment vertical="center"/>
      <protection locked="0"/>
    </xf>
    <xf numFmtId="0" fontId="94" fillId="0" borderId="15" xfId="40" applyFont="1" applyBorder="1" applyAlignment="1">
      <alignment horizontal="left" vertical="center"/>
    </xf>
    <xf numFmtId="0" fontId="93" fillId="0" borderId="15" xfId="40" applyFont="1" applyBorder="1">
      <alignment vertical="center"/>
    </xf>
    <xf numFmtId="0" fontId="93" fillId="0" borderId="15" xfId="40" applyFont="1" applyBorder="1" applyAlignment="1">
      <alignment horizontal="left" vertical="center" wrapText="1"/>
    </xf>
    <xf numFmtId="0" fontId="65" fillId="0" borderId="1" xfId="0" applyFont="1" applyBorder="1" applyAlignment="1" applyProtection="1">
      <alignment horizontal="left" vertical="center"/>
      <protection locked="0"/>
    </xf>
    <xf numFmtId="9" fontId="18" fillId="0" borderId="0" xfId="3" applyFont="1" applyFill="1" applyBorder="1" applyAlignment="1">
      <alignment horizontal="center" vertical="center"/>
    </xf>
    <xf numFmtId="0" fontId="92" fillId="0" borderId="20" xfId="40" applyFont="1" applyBorder="1" applyAlignment="1">
      <alignment vertical="center" wrapText="1"/>
    </xf>
    <xf numFmtId="176" fontId="87" fillId="0" borderId="21" xfId="41" applyFont="1" applyFill="1" applyBorder="1" applyAlignment="1">
      <alignment horizontal="center" vertical="center"/>
    </xf>
    <xf numFmtId="0" fontId="92" fillId="0" borderId="20" xfId="40" applyFont="1" applyBorder="1">
      <alignment vertical="center"/>
    </xf>
    <xf numFmtId="176" fontId="87" fillId="0" borderId="21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7" fillId="0" borderId="112" xfId="3" applyNumberFormat="1" applyFont="1" applyBorder="1" applyAlignment="1">
      <alignment horizontal="center" vertical="center"/>
    </xf>
    <xf numFmtId="176" fontId="32" fillId="0" borderId="112" xfId="0" applyNumberFormat="1" applyFont="1" applyBorder="1" applyAlignment="1" applyProtection="1">
      <alignment horizontal="center" vertical="center"/>
      <protection locked="0"/>
    </xf>
    <xf numFmtId="176" fontId="32" fillId="5" borderId="112" xfId="0" applyNumberFormat="1" applyFont="1" applyFill="1" applyBorder="1" applyAlignment="1" applyProtection="1">
      <alignment horizontal="center" vertical="center"/>
      <protection locked="0"/>
    </xf>
    <xf numFmtId="9" fontId="7" fillId="5" borderId="112" xfId="3" applyFont="1" applyFill="1" applyBorder="1">
      <alignment vertical="center"/>
    </xf>
    <xf numFmtId="0" fontId="22" fillId="0" borderId="18" xfId="0" applyFont="1" applyBorder="1" applyProtection="1">
      <alignment vertical="center"/>
      <protection locked="0"/>
    </xf>
    <xf numFmtId="181" fontId="22" fillId="0" borderId="51" xfId="0" applyNumberFormat="1" applyFont="1" applyBorder="1" applyAlignment="1" applyProtection="1">
      <alignment horizontal="left" vertical="center"/>
      <protection locked="0"/>
    </xf>
    <xf numFmtId="188" fontId="18" fillId="0" borderId="0" xfId="3" applyNumberFormat="1" applyFont="1" applyFill="1" applyAlignment="1">
      <alignment horizontal="center" vertical="center"/>
    </xf>
    <xf numFmtId="187" fontId="22" fillId="0" borderId="15" xfId="0" applyNumberFormat="1" applyFont="1" applyBorder="1" applyAlignment="1" applyProtection="1">
      <alignment horizontal="center" vertical="center"/>
      <protection locked="0"/>
    </xf>
    <xf numFmtId="187" fontId="22" fillId="5" borderId="15" xfId="0" applyNumberFormat="1" applyFont="1" applyFill="1" applyBorder="1" applyAlignment="1" applyProtection="1">
      <alignment horizontal="center" vertical="center"/>
      <protection locked="0"/>
    </xf>
    <xf numFmtId="0" fontId="22" fillId="9" borderId="1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 vertical="center"/>
      <protection locked="0"/>
    </xf>
    <xf numFmtId="181" fontId="22" fillId="0" borderId="75" xfId="3" applyNumberFormat="1" applyFont="1" applyFill="1" applyBorder="1" applyAlignment="1" applyProtection="1">
      <alignment horizontal="center" vertical="center"/>
      <protection locked="0"/>
    </xf>
    <xf numFmtId="0" fontId="22" fillId="0" borderId="83" xfId="0" applyFont="1" applyBorder="1" applyAlignment="1" applyProtection="1">
      <alignment horizontal="center" vertical="center"/>
      <protection locked="0"/>
    </xf>
    <xf numFmtId="181" fontId="22" fillId="0" borderId="84" xfId="3" applyNumberFormat="1" applyFont="1" applyFill="1" applyBorder="1" applyAlignment="1" applyProtection="1">
      <alignment horizontal="center" vertical="center"/>
      <protection locked="0"/>
    </xf>
    <xf numFmtId="0" fontId="22" fillId="0" borderId="92" xfId="0" applyFont="1" applyBorder="1" applyAlignment="1" applyProtection="1">
      <alignment horizontal="center" vertical="center"/>
      <protection locked="0"/>
    </xf>
    <xf numFmtId="181" fontId="22" fillId="0" borderId="93" xfId="3" applyNumberFormat="1" applyFont="1" applyFill="1" applyBorder="1" applyAlignment="1" applyProtection="1">
      <alignment horizontal="center" vertical="center"/>
      <protection locked="0"/>
    </xf>
    <xf numFmtId="181" fontId="22" fillId="0" borderId="45" xfId="3" applyNumberFormat="1" applyFont="1" applyFill="1" applyBorder="1" applyAlignment="1" applyProtection="1">
      <alignment horizontal="center" vertical="center"/>
      <protection locked="0"/>
    </xf>
    <xf numFmtId="186" fontId="22" fillId="0" borderId="4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176" fontId="22" fillId="0" borderId="15" xfId="0" applyNumberFormat="1" applyFont="1" applyBorder="1" applyProtection="1">
      <alignment vertical="center"/>
      <protection locked="0"/>
    </xf>
    <xf numFmtId="176" fontId="22" fillId="0" borderId="15" xfId="1" applyFont="1" applyFill="1" applyBorder="1" applyProtection="1">
      <alignment vertical="center"/>
      <protection locked="0"/>
    </xf>
    <xf numFmtId="0" fontId="32" fillId="0" borderId="20" xfId="0" applyFont="1" applyBorder="1" applyAlignment="1" applyProtection="1">
      <alignment horizontal="center" vertical="center"/>
      <protection locked="0"/>
    </xf>
    <xf numFmtId="10" fontId="7" fillId="26" borderId="18" xfId="3" applyNumberFormat="1" applyFont="1" applyFill="1" applyBorder="1">
      <alignment vertical="center"/>
    </xf>
    <xf numFmtId="0" fontId="32" fillId="0" borderId="95" xfId="0" applyFont="1" applyBorder="1" applyAlignment="1" applyProtection="1">
      <alignment horizontal="center" vertical="center"/>
      <protection locked="0"/>
    </xf>
    <xf numFmtId="0" fontId="32" fillId="0" borderId="21" xfId="0" applyFont="1" applyBorder="1" applyAlignment="1" applyProtection="1">
      <alignment horizontal="center" vertical="center"/>
      <protection locked="0"/>
    </xf>
    <xf numFmtId="176" fontId="32" fillId="0" borderId="21" xfId="1" applyFont="1" applyFill="1" applyBorder="1" applyAlignment="1" applyProtection="1">
      <alignment horizontal="center" vertical="center"/>
      <protection locked="0"/>
    </xf>
    <xf numFmtId="0" fontId="32" fillId="0" borderId="21" xfId="1" applyNumberFormat="1" applyFont="1" applyFill="1" applyBorder="1" applyAlignment="1" applyProtection="1">
      <alignment horizontal="center" vertical="center"/>
      <protection locked="0"/>
    </xf>
    <xf numFmtId="0" fontId="32" fillId="0" borderId="10" xfId="0" applyFont="1" applyBorder="1" applyAlignment="1" applyProtection="1">
      <alignment horizontal="center" vertical="center"/>
      <protection locked="0"/>
    </xf>
    <xf numFmtId="181" fontId="32" fillId="0" borderId="21" xfId="3" applyNumberFormat="1" applyFont="1" applyFill="1" applyBorder="1" applyAlignment="1" applyProtection="1">
      <alignment horizontal="center" vertical="center"/>
      <protection locked="0"/>
    </xf>
    <xf numFmtId="0" fontId="32" fillId="20" borderId="20" xfId="0" applyFont="1" applyFill="1" applyBorder="1" applyAlignment="1" applyProtection="1">
      <alignment horizontal="center" vertical="center"/>
      <protection locked="0"/>
    </xf>
    <xf numFmtId="176" fontId="32" fillId="20" borderId="21" xfId="0" applyNumberFormat="1" applyFont="1" applyFill="1" applyBorder="1" applyAlignment="1" applyProtection="1">
      <alignment horizontal="center" vertical="center"/>
      <protection locked="0"/>
    </xf>
    <xf numFmtId="186" fontId="32" fillId="0" borderId="21" xfId="1" applyNumberFormat="1" applyFont="1" applyFill="1" applyBorder="1" applyAlignment="1" applyProtection="1">
      <alignment horizontal="center" vertical="center"/>
      <protection locked="0"/>
    </xf>
    <xf numFmtId="192" fontId="32" fillId="6" borderId="8" xfId="1" applyNumberFormat="1" applyFont="1" applyFill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locked="0"/>
    </xf>
    <xf numFmtId="0" fontId="32" fillId="0" borderId="36" xfId="0" applyFont="1" applyBorder="1" applyAlignment="1" applyProtection="1">
      <alignment horizontal="center" vertical="center"/>
      <protection locked="0"/>
    </xf>
    <xf numFmtId="182" fontId="32" fillId="0" borderId="21" xfId="0" applyNumberFormat="1" applyFont="1" applyBorder="1" applyAlignment="1" applyProtection="1">
      <alignment horizontal="center" vertical="center"/>
      <protection locked="0"/>
    </xf>
    <xf numFmtId="10" fontId="32" fillId="0" borderId="21" xfId="3" applyNumberFormat="1" applyFont="1" applyFill="1" applyBorder="1" applyAlignment="1" applyProtection="1">
      <alignment horizontal="center" vertical="center"/>
      <protection locked="0"/>
    </xf>
    <xf numFmtId="0" fontId="32" fillId="19" borderId="20" xfId="0" applyFont="1" applyFill="1" applyBorder="1" applyAlignment="1" applyProtection="1">
      <alignment horizontal="center" vertical="center"/>
      <protection locked="0"/>
    </xf>
    <xf numFmtId="176" fontId="32" fillId="19" borderId="21" xfId="0" applyNumberFormat="1" applyFont="1" applyFill="1" applyBorder="1" applyAlignment="1" applyProtection="1">
      <alignment horizontal="center" vertical="center"/>
      <protection locked="0"/>
    </xf>
    <xf numFmtId="0" fontId="22" fillId="5" borderId="15" xfId="0" applyFont="1" applyFill="1" applyBorder="1" applyAlignment="1" applyProtection="1">
      <alignment horizontal="center" vertical="center"/>
      <protection locked="0"/>
    </xf>
    <xf numFmtId="0" fontId="21" fillId="5" borderId="15" xfId="0" applyFont="1" applyFill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187" fontId="22" fillId="16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176" fontId="10" fillId="0" borderId="15" xfId="1" applyFont="1" applyBorder="1">
      <alignment vertical="center"/>
    </xf>
    <xf numFmtId="0" fontId="34" fillId="0" borderId="2" xfId="0" applyFont="1" applyBorder="1">
      <alignment vertical="center"/>
    </xf>
    <xf numFmtId="0" fontId="10" fillId="6" borderId="60" xfId="0" applyFont="1" applyFill="1" applyBorder="1" applyAlignment="1">
      <alignment horizontal="center" vertical="center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69" xfId="0" applyFont="1" applyFill="1" applyBorder="1" applyAlignment="1">
      <alignment horizontal="center" vertical="center"/>
    </xf>
    <xf numFmtId="176" fontId="10" fillId="0" borderId="69" xfId="1" applyFont="1" applyFill="1" applyBorder="1">
      <alignment vertical="center"/>
    </xf>
    <xf numFmtId="0" fontId="10" fillId="0" borderId="222" xfId="0" applyFont="1" applyBorder="1" applyAlignment="1">
      <alignment horizontal="center" vertical="center"/>
    </xf>
    <xf numFmtId="0" fontId="10" fillId="0" borderId="223" xfId="0" applyFont="1" applyBorder="1" applyAlignment="1">
      <alignment horizontal="center" vertical="center"/>
    </xf>
    <xf numFmtId="0" fontId="9" fillId="5" borderId="60" xfId="4" applyFont="1" applyFill="1" applyBorder="1" applyAlignment="1" applyProtection="1">
      <alignment horizontal="center" vertical="center"/>
      <protection hidden="1"/>
    </xf>
    <xf numFmtId="179" fontId="9" fillId="5" borderId="62" xfId="4" applyNumberFormat="1" applyFont="1" applyFill="1" applyBorder="1" applyAlignment="1" applyProtection="1">
      <alignment horizontal="center" vertical="center"/>
      <protection hidden="1"/>
    </xf>
    <xf numFmtId="176" fontId="0" fillId="0" borderId="67" xfId="0" applyNumberFormat="1" applyBorder="1" applyAlignment="1">
      <alignment horizontal="center" vertical="center"/>
    </xf>
    <xf numFmtId="176" fontId="0" fillId="0" borderId="68" xfId="0" applyNumberFormat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176" fontId="9" fillId="0" borderId="21" xfId="1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176" fontId="9" fillId="0" borderId="29" xfId="1" applyFont="1" applyFill="1" applyBorder="1">
      <alignment vertical="center"/>
    </xf>
    <xf numFmtId="176" fontId="9" fillId="0" borderId="17" xfId="1" applyFont="1" applyFill="1" applyBorder="1">
      <alignment vertical="center"/>
    </xf>
    <xf numFmtId="176" fontId="10" fillId="0" borderId="69" xfId="0" applyNumberFormat="1" applyFont="1" applyBorder="1" applyAlignment="1">
      <alignment horizontal="center" vertical="center"/>
    </xf>
    <xf numFmtId="176" fontId="10" fillId="0" borderId="222" xfId="0" applyNumberFormat="1" applyFont="1" applyBorder="1" applyAlignment="1">
      <alignment horizontal="center" vertical="center"/>
    </xf>
    <xf numFmtId="176" fontId="10" fillId="0" borderId="223" xfId="0" applyNumberFormat="1" applyFont="1" applyBorder="1" applyAlignment="1">
      <alignment horizontal="center" vertical="center"/>
    </xf>
    <xf numFmtId="176" fontId="10" fillId="0" borderId="29" xfId="1" applyFont="1" applyBorder="1">
      <alignment vertical="center"/>
    </xf>
    <xf numFmtId="176" fontId="10" fillId="0" borderId="17" xfId="1" applyFont="1" applyBorder="1">
      <alignment vertical="center"/>
    </xf>
    <xf numFmtId="0" fontId="9" fillId="6" borderId="60" xfId="4" applyFont="1" applyFill="1" applyBorder="1" applyAlignment="1" applyProtection="1">
      <alignment horizontal="center" vertical="center"/>
      <protection hidden="1"/>
    </xf>
    <xf numFmtId="179" fontId="9" fillId="6" borderId="62" xfId="4" applyNumberFormat="1" applyFont="1" applyFill="1" applyBorder="1" applyAlignment="1" applyProtection="1">
      <alignment horizontal="center" vertical="center"/>
      <protection hidden="1"/>
    </xf>
    <xf numFmtId="0" fontId="10" fillId="0" borderId="43" xfId="0" applyFont="1" applyBorder="1">
      <alignment vertical="center"/>
    </xf>
    <xf numFmtId="176" fontId="10" fillId="0" borderId="69" xfId="1" applyFont="1" applyBorder="1">
      <alignment vertical="center"/>
    </xf>
    <xf numFmtId="0" fontId="10" fillId="0" borderId="222" xfId="0" applyFont="1" applyBorder="1">
      <alignment vertical="center"/>
    </xf>
    <xf numFmtId="176" fontId="10" fillId="0" borderId="136" xfId="1" applyFont="1" applyBorder="1">
      <alignment vertical="center"/>
    </xf>
    <xf numFmtId="0" fontId="32" fillId="6" borderId="51" xfId="0" applyFont="1" applyFill="1" applyBorder="1" applyAlignment="1" applyProtection="1">
      <alignment horizontal="center" vertical="center"/>
      <protection locked="0"/>
    </xf>
    <xf numFmtId="176" fontId="32" fillId="0" borderId="51" xfId="1" applyFont="1" applyFill="1" applyBorder="1" applyProtection="1">
      <alignment vertical="center"/>
      <protection locked="0"/>
    </xf>
    <xf numFmtId="176" fontId="32" fillId="0" borderId="51" xfId="0" applyNumberFormat="1" applyFont="1" applyBorder="1" applyProtection="1">
      <alignment vertical="center"/>
      <protection locked="0"/>
    </xf>
    <xf numFmtId="0" fontId="32" fillId="0" borderId="91" xfId="0" applyFont="1" applyBorder="1" applyProtection="1">
      <alignment vertical="center"/>
      <protection locked="0"/>
    </xf>
    <xf numFmtId="0" fontId="32" fillId="0" borderId="73" xfId="0" applyFont="1" applyBorder="1" applyProtection="1">
      <alignment vertical="center"/>
      <protection locked="0"/>
    </xf>
    <xf numFmtId="10" fontId="18" fillId="0" borderId="0" xfId="0" applyNumberFormat="1" applyFont="1" applyAlignment="1">
      <alignment horizontal="center" vertical="center"/>
    </xf>
    <xf numFmtId="176" fontId="22" fillId="0" borderId="0" xfId="1" applyFont="1" applyFill="1" applyAlignment="1" applyProtection="1">
      <alignment horizontal="center" vertical="center"/>
      <protection locked="0"/>
    </xf>
    <xf numFmtId="10" fontId="22" fillId="0" borderId="0" xfId="3" applyNumberFormat="1" applyFont="1" applyFill="1" applyAlignment="1" applyProtection="1">
      <alignment horizontal="center" vertical="center"/>
      <protection locked="0"/>
    </xf>
    <xf numFmtId="0" fontId="92" fillId="0" borderId="20" xfId="0" applyFont="1" applyBorder="1" applyAlignment="1">
      <alignment horizontal="center" vertical="center"/>
    </xf>
    <xf numFmtId="0" fontId="93" fillId="0" borderId="15" xfId="0" applyFont="1" applyBorder="1" applyAlignment="1">
      <alignment horizontal="center" vertical="center"/>
    </xf>
    <xf numFmtId="181" fontId="93" fillId="7" borderId="15" xfId="3" applyNumberFormat="1" applyFont="1" applyFill="1" applyBorder="1" applyAlignment="1">
      <alignment horizontal="center" vertical="center"/>
    </xf>
    <xf numFmtId="0" fontId="113" fillId="0" borderId="15" xfId="3" applyNumberFormat="1" applyFont="1" applyBorder="1" applyAlignment="1">
      <alignment horizontal="center" vertical="center"/>
    </xf>
    <xf numFmtId="9" fontId="113" fillId="0" borderId="15" xfId="3" applyFont="1" applyBorder="1" applyAlignment="1">
      <alignment horizontal="center" vertical="center"/>
    </xf>
    <xf numFmtId="0" fontId="45" fillId="0" borderId="0" xfId="0" applyFont="1" applyProtection="1">
      <alignment vertical="center"/>
      <protection locked="0"/>
    </xf>
    <xf numFmtId="0" fontId="99" fillId="0" borderId="0" xfId="0" applyFont="1" applyAlignment="1">
      <alignment horizontal="right" vertical="center"/>
    </xf>
    <xf numFmtId="0" fontId="115" fillId="0" borderId="0" xfId="0" applyFont="1" applyAlignment="1">
      <alignment horizontal="center" vertical="center"/>
    </xf>
    <xf numFmtId="0" fontId="99" fillId="0" borderId="0" xfId="0" applyFont="1" applyAlignment="1">
      <alignment horizontal="left" vertical="center"/>
    </xf>
    <xf numFmtId="0" fontId="99" fillId="0" borderId="0" xfId="0" applyFont="1" applyAlignment="1" applyProtection="1">
      <alignment horizontal="right" vertical="center"/>
      <protection locked="0"/>
    </xf>
    <xf numFmtId="22" fontId="99" fillId="0" borderId="53" xfId="0" applyNumberFormat="1" applyFont="1" applyBorder="1" applyProtection="1">
      <alignment vertical="center"/>
      <protection locked="0" hidden="1"/>
    </xf>
    <xf numFmtId="0" fontId="122" fillId="20" borderId="217" xfId="0" applyFont="1" applyFill="1" applyBorder="1" applyAlignment="1">
      <alignment horizontal="center" vertical="center" wrapText="1"/>
    </xf>
    <xf numFmtId="0" fontId="99" fillId="0" borderId="0" xfId="0" applyFont="1" applyAlignment="1" applyProtection="1">
      <alignment horizontal="left" vertical="center"/>
      <protection locked="0"/>
    </xf>
    <xf numFmtId="10" fontId="123" fillId="0" borderId="0" xfId="3" applyNumberFormat="1" applyFont="1" applyFill="1" applyAlignment="1" applyProtection="1">
      <alignment horizontal="right" vertical="center"/>
      <protection locked="0"/>
    </xf>
    <xf numFmtId="0" fontId="123" fillId="0" borderId="54" xfId="0" applyFont="1" applyBorder="1" applyAlignment="1">
      <alignment horizontal="right" vertical="center"/>
    </xf>
    <xf numFmtId="0" fontId="125" fillId="0" borderId="0" xfId="0" applyFont="1" applyProtection="1">
      <alignment vertical="center"/>
      <protection locked="0" hidden="1"/>
    </xf>
    <xf numFmtId="0" fontId="126" fillId="0" borderId="201" xfId="0" applyFont="1" applyBorder="1" applyAlignment="1" applyProtection="1">
      <alignment horizontal="center" vertical="center"/>
      <protection hidden="1"/>
    </xf>
    <xf numFmtId="0" fontId="120" fillId="0" borderId="0" xfId="0" applyFont="1" applyAlignment="1" applyProtection="1">
      <alignment horizontal="center" vertical="center"/>
      <protection hidden="1"/>
    </xf>
    <xf numFmtId="176" fontId="130" fillId="20" borderId="218" xfId="1" applyFont="1" applyFill="1" applyBorder="1" applyAlignment="1" applyProtection="1">
      <alignment horizontal="center" vertical="center"/>
    </xf>
    <xf numFmtId="0" fontId="116" fillId="0" borderId="0" xfId="0" applyFont="1" applyAlignment="1" applyProtection="1">
      <alignment horizontal="left" vertical="center"/>
      <protection locked="0"/>
    </xf>
    <xf numFmtId="0" fontId="123" fillId="0" borderId="34" xfId="0" applyFont="1" applyBorder="1" applyAlignment="1" applyProtection="1">
      <alignment horizontal="right" vertical="center"/>
      <protection locked="0"/>
    </xf>
    <xf numFmtId="176" fontId="123" fillId="0" borderId="36" xfId="1" applyFont="1" applyFill="1" applyBorder="1" applyAlignment="1" applyProtection="1">
      <alignment horizontal="right" vertical="center"/>
      <protection locked="0"/>
    </xf>
    <xf numFmtId="0" fontId="123" fillId="0" borderId="36" xfId="0" applyFont="1" applyBorder="1" applyAlignment="1" applyProtection="1">
      <alignment horizontal="right" vertical="center"/>
      <protection locked="0"/>
    </xf>
    <xf numFmtId="0" fontId="126" fillId="0" borderId="64" xfId="0" applyFont="1" applyBorder="1" applyAlignment="1" applyProtection="1">
      <alignment horizontal="center" vertical="center"/>
      <protection hidden="1"/>
    </xf>
    <xf numFmtId="0" fontId="132" fillId="0" borderId="202" xfId="0" applyFont="1" applyBorder="1" applyAlignment="1" applyProtection="1">
      <alignment horizontal="center" vertical="center"/>
      <protection hidden="1"/>
    </xf>
    <xf numFmtId="0" fontId="134" fillId="0" borderId="0" xfId="0" applyFont="1" applyAlignment="1" applyProtection="1">
      <alignment horizontal="center" vertical="center"/>
      <protection hidden="1"/>
    </xf>
    <xf numFmtId="0" fontId="116" fillId="0" borderId="0" xfId="0" applyFont="1" applyAlignment="1">
      <alignment horizontal="left" vertical="center"/>
    </xf>
    <xf numFmtId="0" fontId="99" fillId="0" borderId="4" xfId="0" applyFont="1" applyBorder="1" applyAlignment="1">
      <alignment horizontal="right" vertical="center"/>
    </xf>
    <xf numFmtId="0" fontId="123" fillId="0" borderId="77" xfId="0" applyFont="1" applyBorder="1" applyAlignment="1" applyProtection="1">
      <alignment horizontal="right" vertical="center"/>
      <protection locked="0"/>
    </xf>
    <xf numFmtId="0" fontId="123" fillId="0" borderId="20" xfId="0" applyFont="1" applyBorder="1" applyAlignment="1" applyProtection="1">
      <alignment horizontal="right" vertical="center"/>
      <protection locked="0"/>
    </xf>
    <xf numFmtId="176" fontId="123" fillId="0" borderId="21" xfId="1" applyFont="1" applyFill="1" applyBorder="1" applyAlignment="1" applyProtection="1">
      <alignment horizontal="right" vertical="center"/>
      <protection locked="0"/>
    </xf>
    <xf numFmtId="0" fontId="115" fillId="0" borderId="57" xfId="0" applyFont="1" applyBorder="1" applyAlignment="1" applyProtection="1">
      <alignment horizontal="center" vertical="center"/>
      <protection hidden="1"/>
    </xf>
    <xf numFmtId="0" fontId="115" fillId="0" borderId="0" xfId="0" applyFont="1" applyAlignment="1" applyProtection="1">
      <alignment horizontal="right" vertical="center" shrinkToFit="1"/>
      <protection hidden="1"/>
    </xf>
    <xf numFmtId="0" fontId="123" fillId="0" borderId="0" xfId="0" applyFont="1" applyAlignment="1" applyProtection="1">
      <alignment horizontal="right" vertical="center"/>
      <protection locked="0"/>
    </xf>
    <xf numFmtId="0" fontId="123" fillId="0" borderId="88" xfId="0" applyFont="1" applyBorder="1" applyAlignment="1" applyProtection="1">
      <alignment horizontal="right" vertical="center"/>
      <protection locked="0"/>
    </xf>
    <xf numFmtId="0" fontId="133" fillId="0" borderId="96" xfId="0" applyFont="1" applyBorder="1" applyAlignment="1" applyProtection="1">
      <alignment horizontal="center" vertical="center"/>
      <protection hidden="1"/>
    </xf>
    <xf numFmtId="0" fontId="133" fillId="0" borderId="0" xfId="0" applyFont="1" applyAlignment="1" applyProtection="1">
      <alignment horizontal="right" vertical="center"/>
      <protection hidden="1"/>
    </xf>
    <xf numFmtId="0" fontId="144" fillId="12" borderId="15" xfId="0" applyFont="1" applyFill="1" applyBorder="1" applyAlignment="1">
      <alignment horizontal="center" vertical="center"/>
    </xf>
    <xf numFmtId="0" fontId="123" fillId="5" borderId="0" xfId="0" applyFont="1" applyFill="1" applyAlignment="1">
      <alignment horizontal="right" vertical="center"/>
    </xf>
    <xf numFmtId="0" fontId="123" fillId="0" borderId="97" xfId="0" applyFont="1" applyBorder="1" applyAlignment="1" applyProtection="1">
      <alignment horizontal="right" vertical="center"/>
      <protection locked="0"/>
    </xf>
    <xf numFmtId="0" fontId="119" fillId="0" borderId="96" xfId="0" applyFont="1" applyBorder="1" applyAlignment="1" applyProtection="1">
      <alignment horizontal="center" vertical="center"/>
      <protection hidden="1"/>
    </xf>
    <xf numFmtId="0" fontId="123" fillId="0" borderId="104" xfId="0" applyFont="1" applyBorder="1" applyAlignment="1" applyProtection="1">
      <alignment horizontal="right" vertical="center"/>
      <protection locked="0"/>
    </xf>
    <xf numFmtId="0" fontId="123" fillId="0" borderId="106" xfId="0" applyFont="1" applyBorder="1" applyAlignment="1" applyProtection="1">
      <alignment horizontal="right" vertical="center"/>
      <protection locked="0"/>
    </xf>
    <xf numFmtId="176" fontId="123" fillId="0" borderId="68" xfId="1" applyFont="1" applyFill="1" applyBorder="1" applyAlignment="1" applyProtection="1">
      <alignment horizontal="center" vertical="center"/>
      <protection locked="0"/>
    </xf>
    <xf numFmtId="0" fontId="119" fillId="0" borderId="110" xfId="0" applyFont="1" applyBorder="1" applyAlignment="1" applyProtection="1">
      <alignment horizontal="center" vertical="center"/>
      <protection hidden="1"/>
    </xf>
    <xf numFmtId="176" fontId="129" fillId="15" borderId="15" xfId="1" applyFont="1" applyFill="1" applyBorder="1" applyAlignment="1" applyProtection="1">
      <alignment vertical="center"/>
      <protection locked="0"/>
    </xf>
    <xf numFmtId="0" fontId="123" fillId="0" borderId="51" xfId="0" applyFont="1" applyBorder="1" applyAlignment="1" applyProtection="1">
      <alignment horizontal="right" vertical="center"/>
      <protection locked="0"/>
    </xf>
    <xf numFmtId="0" fontId="149" fillId="0" borderId="0" xfId="0" applyFont="1" applyAlignment="1" applyProtection="1">
      <alignment horizontal="right" vertical="center"/>
      <protection hidden="1"/>
    </xf>
    <xf numFmtId="176" fontId="128" fillId="12" borderId="15" xfId="1" applyFont="1" applyFill="1" applyBorder="1" applyAlignment="1" applyProtection="1">
      <alignment horizontal="center" vertical="center" shrinkToFit="1"/>
    </xf>
    <xf numFmtId="0" fontId="115" fillId="0" borderId="0" xfId="0" applyFont="1" applyAlignment="1" applyProtection="1">
      <alignment horizontal="right" vertical="center"/>
      <protection locked="0"/>
    </xf>
    <xf numFmtId="0" fontId="152" fillId="0" borderId="4" xfId="0" applyFont="1" applyBorder="1" applyProtection="1">
      <alignment vertical="center"/>
      <protection hidden="1"/>
    </xf>
    <xf numFmtId="0" fontId="153" fillId="0" borderId="4" xfId="0" applyFont="1" applyBorder="1" applyProtection="1">
      <alignment vertical="center"/>
      <protection hidden="1"/>
    </xf>
    <xf numFmtId="0" fontId="122" fillId="0" borderId="4" xfId="0" applyFont="1" applyBorder="1" applyProtection="1">
      <alignment vertical="center"/>
      <protection hidden="1"/>
    </xf>
    <xf numFmtId="0" fontId="129" fillId="20" borderId="15" xfId="0" applyFont="1" applyFill="1" applyBorder="1">
      <alignment vertical="center"/>
    </xf>
    <xf numFmtId="0" fontId="155" fillId="0" borderId="116" xfId="1" applyNumberFormat="1" applyFont="1" applyFill="1" applyBorder="1" applyAlignment="1" applyProtection="1">
      <alignment horizontal="right" vertical="center"/>
      <protection hidden="1"/>
    </xf>
    <xf numFmtId="0" fontId="155" fillId="0" borderId="193" xfId="1" applyNumberFormat="1" applyFont="1" applyFill="1" applyBorder="1" applyAlignment="1" applyProtection="1">
      <alignment horizontal="right" vertical="center"/>
      <protection hidden="1"/>
    </xf>
    <xf numFmtId="0" fontId="155" fillId="15" borderId="100" xfId="1" applyNumberFormat="1" applyFont="1" applyFill="1" applyBorder="1" applyAlignment="1" applyProtection="1">
      <alignment horizontal="right" vertical="center"/>
      <protection hidden="1"/>
    </xf>
    <xf numFmtId="0" fontId="155" fillId="15" borderId="85" xfId="1" applyNumberFormat="1" applyFont="1" applyFill="1" applyBorder="1" applyAlignment="1" applyProtection="1">
      <alignment horizontal="right" vertical="center"/>
      <protection hidden="1"/>
    </xf>
    <xf numFmtId="0" fontId="156" fillId="15" borderId="85" xfId="1" applyNumberFormat="1" applyFont="1" applyFill="1" applyBorder="1" applyAlignment="1" applyProtection="1">
      <alignment horizontal="right" vertical="center"/>
      <protection hidden="1"/>
    </xf>
    <xf numFmtId="0" fontId="126" fillId="0" borderId="191" xfId="0" applyFont="1" applyBorder="1" applyProtection="1">
      <alignment vertical="center"/>
      <protection hidden="1"/>
    </xf>
    <xf numFmtId="0" fontId="155" fillId="0" borderId="119" xfId="1" applyNumberFormat="1" applyFont="1" applyFill="1" applyBorder="1" applyAlignment="1" applyProtection="1">
      <alignment horizontal="right" vertical="center"/>
      <protection hidden="1"/>
    </xf>
    <xf numFmtId="0" fontId="155" fillId="0" borderId="191" xfId="1" applyNumberFormat="1" applyFont="1" applyFill="1" applyBorder="1" applyAlignment="1" applyProtection="1">
      <alignment horizontal="right" vertical="center"/>
      <protection hidden="1"/>
    </xf>
    <xf numFmtId="10" fontId="155" fillId="15" borderId="100" xfId="3" applyNumberFormat="1" applyFont="1" applyFill="1" applyBorder="1" applyAlignment="1" applyProtection="1">
      <alignment horizontal="right" vertical="center"/>
      <protection hidden="1"/>
    </xf>
    <xf numFmtId="176" fontId="155" fillId="15" borderId="100" xfId="1" applyFont="1" applyFill="1" applyBorder="1" applyAlignment="1" applyProtection="1">
      <alignment horizontal="right" vertical="center"/>
      <protection hidden="1"/>
    </xf>
    <xf numFmtId="0" fontId="144" fillId="12" borderId="15" xfId="0" applyFont="1" applyFill="1" applyBorder="1" applyAlignment="1">
      <alignment horizontal="center" vertical="center" shrinkToFit="1"/>
    </xf>
    <xf numFmtId="0" fontId="129" fillId="20" borderId="15" xfId="0" applyFont="1" applyFill="1" applyBorder="1" applyAlignment="1">
      <alignment horizontal="center" vertical="center"/>
    </xf>
    <xf numFmtId="176" fontId="123" fillId="0" borderId="17" xfId="1" applyFont="1" applyFill="1" applyBorder="1" applyAlignment="1" applyProtection="1">
      <alignment horizontal="right" vertical="center"/>
      <protection locked="0"/>
    </xf>
    <xf numFmtId="0" fontId="155" fillId="0" borderId="124" xfId="1" applyNumberFormat="1" applyFont="1" applyFill="1" applyBorder="1" applyAlignment="1" applyProtection="1">
      <alignment horizontal="right" vertical="center"/>
      <protection hidden="1"/>
    </xf>
    <xf numFmtId="0" fontId="155" fillId="0" borderId="56" xfId="1" applyNumberFormat="1" applyFont="1" applyFill="1" applyBorder="1" applyAlignment="1" applyProtection="1">
      <alignment horizontal="right" vertical="center"/>
      <protection hidden="1"/>
    </xf>
    <xf numFmtId="0" fontId="155" fillId="15" borderId="94" xfId="1" applyNumberFormat="1" applyFont="1" applyFill="1" applyBorder="1" applyAlignment="1" applyProtection="1">
      <alignment horizontal="right" vertical="center"/>
      <protection hidden="1"/>
    </xf>
    <xf numFmtId="176" fontId="155" fillId="15" borderId="94" xfId="1" applyFont="1" applyFill="1" applyBorder="1" applyAlignment="1" applyProtection="1">
      <alignment horizontal="right" vertical="center"/>
      <protection hidden="1"/>
    </xf>
    <xf numFmtId="176" fontId="158" fillId="12" borderId="15" xfId="1" applyFont="1" applyFill="1" applyBorder="1" applyAlignment="1" applyProtection="1">
      <alignment horizontal="center" vertical="center"/>
    </xf>
    <xf numFmtId="176" fontId="123" fillId="0" borderId="0" xfId="1" applyFont="1" applyFill="1" applyAlignment="1" applyProtection="1">
      <alignment horizontal="right" vertical="center"/>
    </xf>
    <xf numFmtId="0" fontId="123" fillId="0" borderId="0" xfId="0" applyFont="1" applyAlignment="1">
      <alignment horizontal="right" vertical="center"/>
    </xf>
    <xf numFmtId="0" fontId="126" fillId="0" borderId="0" xfId="0" applyFont="1" applyProtection="1">
      <alignment vertical="center"/>
      <protection hidden="1"/>
    </xf>
    <xf numFmtId="0" fontId="155" fillId="0" borderId="120" xfId="1" applyNumberFormat="1" applyFont="1" applyFill="1" applyBorder="1" applyAlignment="1" applyProtection="1">
      <alignment horizontal="right" vertical="center"/>
      <protection hidden="1"/>
    </xf>
    <xf numFmtId="181" fontId="155" fillId="15" borderId="100" xfId="3" applyNumberFormat="1" applyFont="1" applyFill="1" applyBorder="1" applyAlignment="1" applyProtection="1">
      <alignment horizontal="right" vertical="center"/>
      <protection hidden="1"/>
    </xf>
    <xf numFmtId="0" fontId="126" fillId="0" borderId="116" xfId="0" applyFont="1" applyBorder="1" applyProtection="1">
      <alignment vertical="center"/>
      <protection hidden="1"/>
    </xf>
    <xf numFmtId="0" fontId="116" fillId="8" borderId="0" xfId="0" applyFont="1" applyFill="1" applyAlignment="1">
      <alignment horizontal="left" vertical="center"/>
    </xf>
    <xf numFmtId="0" fontId="123" fillId="0" borderId="6" xfId="0" applyFont="1" applyBorder="1" applyAlignment="1" applyProtection="1">
      <alignment horizontal="right" vertical="center"/>
      <protection locked="0"/>
    </xf>
    <xf numFmtId="0" fontId="123" fillId="0" borderId="7" xfId="0" applyFont="1" applyBorder="1" applyAlignment="1" applyProtection="1">
      <alignment horizontal="right" vertical="center"/>
      <protection locked="0"/>
    </xf>
    <xf numFmtId="9" fontId="155" fillId="0" borderId="119" xfId="1" applyNumberFormat="1" applyFont="1" applyFill="1" applyBorder="1" applyAlignment="1" applyProtection="1">
      <alignment horizontal="right" vertical="center"/>
      <protection hidden="1"/>
    </xf>
    <xf numFmtId="181" fontId="129" fillId="12" borderId="15" xfId="3" applyNumberFormat="1" applyFont="1" applyFill="1" applyBorder="1" applyAlignment="1" applyProtection="1">
      <alignment vertical="center"/>
    </xf>
    <xf numFmtId="0" fontId="116" fillId="23" borderId="0" xfId="0" applyFont="1" applyFill="1" applyAlignment="1" applyProtection="1">
      <alignment horizontal="left" vertical="center"/>
      <protection locked="0"/>
    </xf>
    <xf numFmtId="0" fontId="123" fillId="0" borderId="126" xfId="0" applyFont="1" applyBorder="1" applyAlignment="1" applyProtection="1">
      <alignment horizontal="right" vertical="center"/>
      <protection locked="0"/>
    </xf>
    <xf numFmtId="176" fontId="123" fillId="0" borderId="21" xfId="0" applyNumberFormat="1" applyFont="1" applyBorder="1" applyAlignment="1" applyProtection="1">
      <alignment horizontal="right" vertical="center"/>
      <protection locked="0"/>
    </xf>
    <xf numFmtId="0" fontId="155" fillId="0" borderId="128" xfId="1" applyNumberFormat="1" applyFont="1" applyFill="1" applyBorder="1" applyAlignment="1" applyProtection="1">
      <alignment horizontal="right" vertical="center"/>
      <protection hidden="1"/>
    </xf>
    <xf numFmtId="0" fontId="155" fillId="0" borderId="208" xfId="1" applyNumberFormat="1" applyFont="1" applyFill="1" applyBorder="1" applyAlignment="1" applyProtection="1">
      <alignment horizontal="right" vertical="center"/>
      <protection hidden="1"/>
    </xf>
    <xf numFmtId="0" fontId="155" fillId="15" borderId="0" xfId="1" applyNumberFormat="1" applyFont="1" applyFill="1" applyBorder="1" applyAlignment="1" applyProtection="1">
      <alignment horizontal="right" vertical="center"/>
      <protection hidden="1"/>
    </xf>
    <xf numFmtId="0" fontId="156" fillId="15" borderId="0" xfId="1" applyNumberFormat="1" applyFont="1" applyFill="1" applyBorder="1" applyAlignment="1" applyProtection="1">
      <alignment horizontal="right" vertical="center"/>
      <protection hidden="1"/>
    </xf>
    <xf numFmtId="0" fontId="99" fillId="5" borderId="0" xfId="0" applyFont="1" applyFill="1" applyAlignment="1" applyProtection="1">
      <alignment horizontal="left" vertical="center"/>
      <protection locked="0"/>
    </xf>
    <xf numFmtId="0" fontId="154" fillId="0" borderId="130" xfId="1" applyNumberFormat="1" applyFont="1" applyFill="1" applyBorder="1" applyAlignment="1" applyProtection="1">
      <alignment horizontal="right" vertical="center"/>
      <protection hidden="1"/>
    </xf>
    <xf numFmtId="0" fontId="154" fillId="0" borderId="197" xfId="1" applyNumberFormat="1" applyFont="1" applyFill="1" applyBorder="1" applyAlignment="1" applyProtection="1">
      <alignment horizontal="right" vertical="center"/>
      <protection hidden="1"/>
    </xf>
    <xf numFmtId="0" fontId="154" fillId="15" borderId="58" xfId="1" applyNumberFormat="1" applyFont="1" applyFill="1" applyBorder="1" applyAlignment="1" applyProtection="1">
      <alignment horizontal="right" vertical="center"/>
      <protection hidden="1"/>
    </xf>
    <xf numFmtId="0" fontId="123" fillId="0" borderId="132" xfId="0" applyFont="1" applyBorder="1" applyAlignment="1" applyProtection="1">
      <alignment horizontal="right" vertical="center"/>
      <protection locked="0"/>
    </xf>
    <xf numFmtId="0" fontId="126" fillId="0" borderId="205" xfId="0" applyFont="1" applyBorder="1" applyProtection="1">
      <alignment vertical="center"/>
      <protection hidden="1"/>
    </xf>
    <xf numFmtId="0" fontId="126" fillId="0" borderId="120" xfId="0" applyFont="1" applyBorder="1" applyProtection="1">
      <alignment vertical="center"/>
      <protection hidden="1"/>
    </xf>
    <xf numFmtId="0" fontId="160" fillId="0" borderId="120" xfId="1" applyNumberFormat="1" applyFont="1" applyFill="1" applyBorder="1" applyAlignment="1" applyProtection="1">
      <alignment horizontal="right" vertical="center"/>
      <protection hidden="1"/>
    </xf>
    <xf numFmtId="0" fontId="160" fillId="0" borderId="191" xfId="1" applyNumberFormat="1" applyFont="1" applyFill="1" applyBorder="1" applyAlignment="1" applyProtection="1">
      <alignment horizontal="right" vertical="center"/>
      <protection hidden="1"/>
    </xf>
    <xf numFmtId="0" fontId="160" fillId="15" borderId="100" xfId="1" applyNumberFormat="1" applyFont="1" applyFill="1" applyBorder="1" applyAlignment="1" applyProtection="1">
      <alignment horizontal="right" vertical="center"/>
      <protection hidden="1"/>
    </xf>
    <xf numFmtId="0" fontId="161" fillId="15" borderId="100" xfId="1" applyNumberFormat="1" applyFont="1" applyFill="1" applyBorder="1" applyAlignment="1" applyProtection="1">
      <alignment horizontal="right" vertical="center"/>
      <protection hidden="1"/>
    </xf>
    <xf numFmtId="0" fontId="129" fillId="12" borderId="15" xfId="0" applyFont="1" applyFill="1" applyBorder="1">
      <alignment vertical="center"/>
    </xf>
    <xf numFmtId="0" fontId="157" fillId="12" borderId="15" xfId="0" applyFont="1" applyFill="1" applyBorder="1" applyAlignment="1">
      <alignment horizontal="center" vertical="center"/>
    </xf>
    <xf numFmtId="176" fontId="99" fillId="0" borderId="0" xfId="1" applyFont="1" applyFill="1" applyBorder="1" applyAlignment="1" applyProtection="1">
      <alignment horizontal="left" vertical="center"/>
      <protection locked="0"/>
    </xf>
    <xf numFmtId="0" fontId="123" fillId="0" borderId="137" xfId="0" applyFont="1" applyBorder="1" applyAlignment="1" applyProtection="1">
      <alignment horizontal="right" vertical="center"/>
      <protection locked="0"/>
    </xf>
    <xf numFmtId="176" fontId="123" fillId="0" borderId="138" xfId="1" applyFont="1" applyFill="1" applyBorder="1" applyAlignment="1" applyProtection="1">
      <alignment horizontal="right" vertical="center"/>
      <protection locked="0"/>
    </xf>
    <xf numFmtId="176" fontId="123" fillId="0" borderId="36" xfId="0" applyNumberFormat="1" applyFont="1" applyBorder="1" applyAlignment="1" applyProtection="1">
      <alignment horizontal="right" vertical="center"/>
      <protection locked="0"/>
    </xf>
    <xf numFmtId="0" fontId="126" fillId="0" borderId="206" xfId="0" applyFont="1" applyBorder="1" applyProtection="1">
      <alignment vertical="center"/>
      <protection hidden="1"/>
    </xf>
    <xf numFmtId="0" fontId="126" fillId="0" borderId="94" xfId="0" applyFont="1" applyBorder="1" applyProtection="1">
      <alignment vertical="center"/>
      <protection hidden="1"/>
    </xf>
    <xf numFmtId="0" fontId="160" fillId="0" borderId="94" xfId="1" applyNumberFormat="1" applyFont="1" applyFill="1" applyBorder="1" applyAlignment="1" applyProtection="1">
      <alignment horizontal="right" vertical="center"/>
      <protection hidden="1"/>
    </xf>
    <xf numFmtId="0" fontId="160" fillId="0" borderId="95" xfId="1" applyNumberFormat="1" applyFont="1" applyFill="1" applyBorder="1" applyAlignment="1" applyProtection="1">
      <alignment horizontal="right" vertical="center"/>
      <protection hidden="1"/>
    </xf>
    <xf numFmtId="0" fontId="160" fillId="15" borderId="94" xfId="1" applyNumberFormat="1" applyFont="1" applyFill="1" applyBorder="1" applyAlignment="1" applyProtection="1">
      <alignment horizontal="right" vertical="center"/>
      <protection hidden="1"/>
    </xf>
    <xf numFmtId="0" fontId="161" fillId="15" borderId="94" xfId="1" applyNumberFormat="1" applyFont="1" applyFill="1" applyBorder="1" applyAlignment="1" applyProtection="1">
      <alignment horizontal="right" vertical="center"/>
      <protection hidden="1"/>
    </xf>
    <xf numFmtId="181" fontId="157" fillId="12" borderId="15" xfId="3" applyNumberFormat="1" applyFont="1" applyFill="1" applyBorder="1" applyAlignment="1" applyProtection="1">
      <alignment horizontal="center" vertical="center"/>
    </xf>
    <xf numFmtId="181" fontId="157" fillId="12" borderId="15" xfId="3" applyNumberFormat="1" applyFont="1" applyFill="1" applyBorder="1" applyAlignment="1" applyProtection="1">
      <alignment vertical="center"/>
    </xf>
    <xf numFmtId="0" fontId="123" fillId="0" borderId="41" xfId="0" applyFont="1" applyBorder="1" applyAlignment="1" applyProtection="1">
      <alignment horizontal="right" vertical="center"/>
      <protection locked="0"/>
    </xf>
    <xf numFmtId="0" fontId="123" fillId="0" borderId="10" xfId="0" applyFont="1" applyBorder="1" applyAlignment="1" applyProtection="1">
      <alignment horizontal="right" vertical="center"/>
      <protection locked="0"/>
    </xf>
    <xf numFmtId="0" fontId="126" fillId="0" borderId="53" xfId="0" applyFont="1" applyBorder="1" applyProtection="1">
      <alignment vertical="center"/>
      <protection hidden="1"/>
    </xf>
    <xf numFmtId="0" fontId="126" fillId="0" borderId="140" xfId="0" applyFont="1" applyBorder="1" applyProtection="1">
      <alignment vertical="center"/>
      <protection hidden="1"/>
    </xf>
    <xf numFmtId="176" fontId="126" fillId="0" borderId="53" xfId="1" applyFont="1" applyFill="1" applyBorder="1" applyAlignment="1" applyProtection="1">
      <alignment vertical="center"/>
      <protection hidden="1"/>
    </xf>
    <xf numFmtId="0" fontId="155" fillId="0" borderId="53" xfId="1" applyNumberFormat="1" applyFont="1" applyFill="1" applyBorder="1" applyAlignment="1" applyProtection="1">
      <alignment horizontal="right" vertical="center"/>
      <protection hidden="1"/>
    </xf>
    <xf numFmtId="0" fontId="155" fillId="0" borderId="174" xfId="1" applyNumberFormat="1" applyFont="1" applyFill="1" applyBorder="1" applyAlignment="1" applyProtection="1">
      <alignment horizontal="right" vertical="center"/>
      <protection hidden="1"/>
    </xf>
    <xf numFmtId="176" fontId="155" fillId="15" borderId="0" xfId="1" applyFont="1" applyFill="1" applyBorder="1" applyAlignment="1" applyProtection="1">
      <alignment horizontal="right" vertical="center"/>
      <protection hidden="1"/>
    </xf>
    <xf numFmtId="10" fontId="157" fillId="12" borderId="15" xfId="0" applyNumberFormat="1" applyFont="1" applyFill="1" applyBorder="1" applyAlignment="1">
      <alignment horizontal="center" vertical="center"/>
    </xf>
    <xf numFmtId="0" fontId="123" fillId="0" borderId="1" xfId="0" applyFont="1" applyBorder="1" applyAlignment="1" applyProtection="1">
      <alignment horizontal="right" vertical="center"/>
      <protection locked="0"/>
    </xf>
    <xf numFmtId="176" fontId="123" fillId="0" borderId="2" xfId="1" applyFont="1" applyFill="1" applyBorder="1" applyAlignment="1" applyProtection="1">
      <alignment horizontal="right" vertical="center"/>
      <protection locked="0"/>
    </xf>
    <xf numFmtId="0" fontId="163" fillId="0" borderId="52" xfId="0" applyFont="1" applyBorder="1" applyAlignment="1" applyProtection="1">
      <alignment vertical="center" shrinkToFit="1"/>
      <protection hidden="1"/>
    </xf>
    <xf numFmtId="0" fontId="155" fillId="0" borderId="52" xfId="1" applyNumberFormat="1" applyFont="1" applyFill="1" applyBorder="1" applyAlignment="1" applyProtection="1">
      <alignment horizontal="right" vertical="center"/>
      <protection hidden="1"/>
    </xf>
    <xf numFmtId="176" fontId="126" fillId="0" borderId="199" xfId="1" applyFont="1" applyFill="1" applyBorder="1" applyAlignment="1" applyProtection="1">
      <alignment horizontal="center" vertical="center"/>
      <protection hidden="1"/>
    </xf>
    <xf numFmtId="176" fontId="126" fillId="0" borderId="52" xfId="1" applyFont="1" applyFill="1" applyBorder="1" applyAlignment="1" applyProtection="1">
      <alignment horizontal="center" vertical="center"/>
      <protection hidden="1"/>
    </xf>
    <xf numFmtId="0" fontId="126" fillId="0" borderId="200" xfId="1" applyNumberFormat="1" applyFont="1" applyFill="1" applyBorder="1" applyAlignment="1" applyProtection="1">
      <alignment horizontal="right" vertical="center"/>
      <protection hidden="1"/>
    </xf>
    <xf numFmtId="0" fontId="126" fillId="15" borderId="52" xfId="1" applyNumberFormat="1" applyFont="1" applyFill="1" applyBorder="1" applyAlignment="1" applyProtection="1">
      <alignment horizontal="right" vertical="center"/>
      <protection hidden="1"/>
    </xf>
    <xf numFmtId="193" fontId="158" fillId="12" borderId="15" xfId="3" applyNumberFormat="1" applyFont="1" applyFill="1" applyBorder="1" applyAlignment="1" applyProtection="1">
      <alignment horizontal="center" vertical="center"/>
    </xf>
    <xf numFmtId="0" fontId="123" fillId="0" borderId="142" xfId="0" applyFont="1" applyBorder="1" applyAlignment="1" applyProtection="1">
      <alignment horizontal="right" vertical="center"/>
      <protection locked="0"/>
    </xf>
    <xf numFmtId="0" fontId="155" fillId="15" borderId="130" xfId="1" applyNumberFormat="1" applyFont="1" applyFill="1" applyBorder="1" applyAlignment="1" applyProtection="1">
      <alignment horizontal="right" vertical="center"/>
      <protection hidden="1"/>
    </xf>
    <xf numFmtId="176" fontId="166" fillId="15" borderId="0" xfId="1" applyFont="1" applyFill="1" applyBorder="1" applyAlignment="1" applyProtection="1">
      <alignment vertical="center"/>
      <protection hidden="1"/>
    </xf>
    <xf numFmtId="176" fontId="167" fillId="15" borderId="0" xfId="1" applyFont="1" applyFill="1" applyBorder="1" applyAlignment="1" applyProtection="1">
      <alignment vertical="center"/>
      <protection hidden="1"/>
    </xf>
    <xf numFmtId="0" fontId="167" fillId="15" borderId="130" xfId="1" applyNumberFormat="1" applyFont="1" applyFill="1" applyBorder="1" applyAlignment="1" applyProtection="1">
      <alignment horizontal="left" vertical="center"/>
      <protection hidden="1"/>
    </xf>
    <xf numFmtId="0" fontId="168" fillId="15" borderId="0" xfId="1" applyNumberFormat="1" applyFont="1" applyFill="1" applyBorder="1" applyAlignment="1" applyProtection="1">
      <alignment horizontal="center" vertical="center"/>
      <protection hidden="1"/>
    </xf>
    <xf numFmtId="176" fontId="155" fillId="15" borderId="0" xfId="1" applyFont="1" applyFill="1" applyBorder="1" applyAlignment="1" applyProtection="1">
      <alignment horizontal="center" vertical="center"/>
      <protection hidden="1"/>
    </xf>
    <xf numFmtId="193" fontId="158" fillId="0" borderId="15" xfId="3" applyNumberFormat="1" applyFont="1" applyFill="1" applyBorder="1" applyAlignment="1" applyProtection="1">
      <alignment horizontal="center" vertical="center"/>
      <protection locked="0"/>
    </xf>
    <xf numFmtId="176" fontId="116" fillId="0" borderId="0" xfId="1" applyFont="1" applyFill="1" applyBorder="1" applyAlignment="1" applyProtection="1">
      <alignment horizontal="left" vertical="center"/>
      <protection locked="0"/>
    </xf>
    <xf numFmtId="0" fontId="116" fillId="0" borderId="0" xfId="0" applyFont="1" applyAlignment="1" applyProtection="1">
      <alignment horizontal="right" vertical="center"/>
      <protection locked="0"/>
    </xf>
    <xf numFmtId="178" fontId="158" fillId="0" borderId="15" xfId="1" applyNumberFormat="1" applyFont="1" applyFill="1" applyBorder="1" applyAlignment="1" applyProtection="1">
      <alignment horizontal="center" vertical="center"/>
      <protection locked="0"/>
    </xf>
    <xf numFmtId="0" fontId="123" fillId="0" borderId="2" xfId="0" applyFont="1" applyBorder="1" applyAlignment="1" applyProtection="1">
      <alignment horizontal="right" vertical="center"/>
      <protection locked="0"/>
    </xf>
    <xf numFmtId="0" fontId="148" fillId="0" borderId="0" xfId="0" applyFont="1" applyProtection="1">
      <alignment vertical="center"/>
      <protection hidden="1"/>
    </xf>
    <xf numFmtId="0" fontId="169" fillId="0" borderId="0" xfId="0" applyFont="1" applyProtection="1">
      <alignment vertical="center"/>
      <protection hidden="1"/>
    </xf>
    <xf numFmtId="0" fontId="169" fillId="0" borderId="0" xfId="0" applyFont="1" applyAlignment="1" applyProtection="1">
      <alignment horizontal="right" vertical="center"/>
      <protection hidden="1"/>
    </xf>
    <xf numFmtId="10" fontId="169" fillId="15" borderId="0" xfId="3" applyNumberFormat="1" applyFont="1" applyFill="1" applyBorder="1" applyAlignment="1" applyProtection="1">
      <alignment vertical="center"/>
      <protection hidden="1"/>
    </xf>
    <xf numFmtId="176" fontId="99" fillId="0" borderId="0" xfId="0" applyNumberFormat="1" applyFont="1" applyAlignment="1" applyProtection="1">
      <alignment horizontal="left" vertical="center"/>
      <protection locked="0"/>
    </xf>
    <xf numFmtId="0" fontId="116" fillId="0" borderId="21" xfId="0" applyFont="1" applyBorder="1" applyAlignment="1" applyProtection="1">
      <alignment horizontal="right" vertical="center"/>
      <protection locked="0"/>
    </xf>
    <xf numFmtId="0" fontId="119" fillId="0" borderId="0" xfId="0" applyFont="1" applyAlignment="1" applyProtection="1">
      <alignment horizontal="left" vertical="center"/>
      <protection hidden="1"/>
    </xf>
    <xf numFmtId="0" fontId="170" fillId="0" borderId="0" xfId="0" applyFont="1" applyProtection="1">
      <alignment vertical="center"/>
      <protection hidden="1"/>
    </xf>
    <xf numFmtId="0" fontId="170" fillId="0" borderId="0" xfId="0" applyFont="1" applyAlignment="1" applyProtection="1">
      <alignment horizontal="left" vertical="center"/>
      <protection hidden="1"/>
    </xf>
    <xf numFmtId="176" fontId="158" fillId="0" borderId="15" xfId="1" applyFont="1" applyFill="1" applyBorder="1" applyAlignment="1" applyProtection="1">
      <alignment horizontal="center" vertical="center"/>
      <protection locked="0"/>
    </xf>
    <xf numFmtId="0" fontId="119" fillId="0" borderId="0" xfId="0" applyFont="1" applyProtection="1">
      <alignment vertical="center"/>
      <protection hidden="1"/>
    </xf>
    <xf numFmtId="0" fontId="120" fillId="0" borderId="0" xfId="0" applyFont="1" applyProtection="1">
      <alignment vertical="center"/>
      <protection hidden="1"/>
    </xf>
    <xf numFmtId="0" fontId="120" fillId="0" borderId="0" xfId="0" applyFont="1" applyAlignment="1" applyProtection="1">
      <alignment horizontal="right" vertical="center"/>
      <protection hidden="1"/>
    </xf>
    <xf numFmtId="10" fontId="158" fillId="12" borderId="15" xfId="3" applyNumberFormat="1" applyFont="1" applyFill="1" applyBorder="1" applyAlignment="1" applyProtection="1">
      <alignment horizontal="center" vertical="center" shrinkToFit="1"/>
    </xf>
    <xf numFmtId="0" fontId="123" fillId="0" borderId="145" xfId="0" applyFont="1" applyBorder="1" applyAlignment="1" applyProtection="1">
      <alignment horizontal="right" vertical="center"/>
      <protection locked="0"/>
    </xf>
    <xf numFmtId="176" fontId="123" fillId="0" borderId="146" xfId="1" applyFont="1" applyFill="1" applyBorder="1" applyAlignment="1" applyProtection="1">
      <alignment horizontal="right" vertical="center"/>
      <protection locked="0"/>
    </xf>
    <xf numFmtId="0" fontId="171" fillId="0" borderId="0" xfId="0" applyFont="1" applyAlignment="1" applyProtection="1">
      <alignment horizontal="left" vertical="center"/>
      <protection hidden="1"/>
    </xf>
    <xf numFmtId="10" fontId="158" fillId="0" borderId="15" xfId="3" applyNumberFormat="1" applyFont="1" applyFill="1" applyBorder="1" applyAlignment="1" applyProtection="1">
      <alignment horizontal="center" vertical="center"/>
      <protection locked="0"/>
    </xf>
    <xf numFmtId="0" fontId="123" fillId="0" borderId="216" xfId="0" applyFont="1" applyBorder="1" applyAlignment="1" applyProtection="1">
      <alignment horizontal="right" vertical="center"/>
      <protection locked="0"/>
    </xf>
    <xf numFmtId="176" fontId="123" fillId="0" borderId="147" xfId="1" applyFont="1" applyFill="1" applyBorder="1" applyAlignment="1" applyProtection="1">
      <alignment horizontal="right" vertical="center"/>
      <protection locked="0"/>
    </xf>
    <xf numFmtId="176" fontId="123" fillId="0" borderId="16" xfId="0" applyNumberFormat="1" applyFont="1" applyBorder="1" applyAlignment="1" applyProtection="1">
      <alignment horizontal="right" vertical="center"/>
      <protection locked="0"/>
    </xf>
    <xf numFmtId="176" fontId="123" fillId="0" borderId="17" xfId="0" applyNumberFormat="1" applyFont="1" applyBorder="1" applyAlignment="1" applyProtection="1">
      <alignment horizontal="right" vertical="center"/>
      <protection locked="0"/>
    </xf>
    <xf numFmtId="10" fontId="120" fillId="0" borderId="0" xfId="3" applyNumberFormat="1" applyFont="1" applyFill="1" applyBorder="1" applyAlignment="1" applyProtection="1">
      <alignment vertical="center"/>
      <protection hidden="1"/>
    </xf>
    <xf numFmtId="176" fontId="158" fillId="12" borderId="15" xfId="1" applyFont="1" applyFill="1" applyBorder="1" applyAlignment="1" applyProtection="1">
      <alignment horizontal="center" vertical="center" shrinkToFit="1"/>
    </xf>
    <xf numFmtId="0" fontId="119" fillId="0" borderId="85" xfId="0" applyFont="1" applyBorder="1" applyAlignment="1" applyProtection="1">
      <alignment vertical="center" shrinkToFit="1"/>
      <protection hidden="1"/>
    </xf>
    <xf numFmtId="0" fontId="166" fillId="0" borderId="0" xfId="0" applyFont="1" applyAlignment="1" applyProtection="1">
      <alignment horizontal="center" vertical="center"/>
      <protection hidden="1"/>
    </xf>
    <xf numFmtId="0" fontId="119" fillId="0" borderId="0" xfId="0" applyFont="1" applyAlignment="1" applyProtection="1">
      <alignment vertical="center" shrinkToFit="1"/>
      <protection hidden="1"/>
    </xf>
    <xf numFmtId="0" fontId="123" fillId="0" borderId="148" xfId="0" applyFont="1" applyBorder="1" applyAlignment="1" applyProtection="1">
      <alignment horizontal="right" vertical="center"/>
      <protection locked="0"/>
    </xf>
    <xf numFmtId="176" fontId="123" fillId="0" borderId="148" xfId="1" applyFont="1" applyFill="1" applyBorder="1" applyAlignment="1" applyProtection="1">
      <alignment horizontal="right" vertical="center"/>
      <protection locked="0"/>
    </xf>
    <xf numFmtId="0" fontId="119" fillId="0" borderId="63" xfId="0" applyFont="1" applyBorder="1" applyProtection="1">
      <alignment vertical="center"/>
      <protection hidden="1"/>
    </xf>
    <xf numFmtId="0" fontId="142" fillId="0" borderId="94" xfId="0" applyFont="1" applyBorder="1" applyProtection="1">
      <alignment vertical="center"/>
      <protection hidden="1"/>
    </xf>
    <xf numFmtId="0" fontId="142" fillId="0" borderId="94" xfId="0" applyFont="1" applyBorder="1" applyAlignment="1" applyProtection="1">
      <alignment horizontal="center" vertical="center"/>
      <protection hidden="1"/>
    </xf>
    <xf numFmtId="0" fontId="99" fillId="0" borderId="94" xfId="0" applyFont="1" applyBorder="1" applyAlignment="1" applyProtection="1">
      <alignment horizontal="center" vertical="center"/>
      <protection hidden="1"/>
    </xf>
    <xf numFmtId="0" fontId="135" fillId="0" borderId="94" xfId="0" applyFont="1" applyBorder="1" applyProtection="1">
      <alignment vertical="center"/>
      <protection hidden="1"/>
    </xf>
    <xf numFmtId="0" fontId="135" fillId="0" borderId="94" xfId="0" applyFont="1" applyBorder="1" applyAlignment="1" applyProtection="1">
      <alignment horizontal="center" vertical="center"/>
      <protection hidden="1"/>
    </xf>
    <xf numFmtId="0" fontId="119" fillId="0" borderId="94" xfId="0" applyFont="1" applyBorder="1" applyAlignment="1" applyProtection="1">
      <alignment horizontal="center" vertical="center"/>
      <protection hidden="1"/>
    </xf>
    <xf numFmtId="0" fontId="99" fillId="0" borderId="94" xfId="0" applyFont="1" applyBorder="1" applyProtection="1">
      <alignment vertical="center"/>
      <protection hidden="1"/>
    </xf>
    <xf numFmtId="0" fontId="167" fillId="0" borderId="0" xfId="0" applyFont="1" applyAlignment="1" applyProtection="1">
      <alignment horizontal="center" vertical="center"/>
      <protection hidden="1"/>
    </xf>
    <xf numFmtId="10" fontId="158" fillId="12" borderId="15" xfId="3" applyNumberFormat="1" applyFont="1" applyFill="1" applyBorder="1" applyAlignment="1" applyProtection="1">
      <alignment horizontal="center" vertical="center"/>
    </xf>
    <xf numFmtId="0" fontId="119" fillId="0" borderId="149" xfId="0" applyFont="1" applyBorder="1" applyProtection="1">
      <alignment vertical="center"/>
      <protection hidden="1"/>
    </xf>
    <xf numFmtId="0" fontId="142" fillId="0" borderId="4" xfId="0" applyFont="1" applyBorder="1" applyProtection="1">
      <alignment vertical="center"/>
      <protection hidden="1"/>
    </xf>
    <xf numFmtId="0" fontId="142" fillId="0" borderId="4" xfId="0" applyFont="1" applyBorder="1" applyAlignment="1" applyProtection="1">
      <alignment horizontal="center" vertical="center"/>
      <protection hidden="1"/>
    </xf>
    <xf numFmtId="0" fontId="99" fillId="0" borderId="4" xfId="0" applyFont="1" applyBorder="1" applyAlignment="1" applyProtection="1">
      <alignment horizontal="center" vertical="center"/>
      <protection hidden="1"/>
    </xf>
    <xf numFmtId="0" fontId="135" fillId="0" borderId="107" xfId="0" applyFont="1" applyBorder="1" applyProtection="1">
      <alignment vertical="center"/>
      <protection hidden="1"/>
    </xf>
    <xf numFmtId="0" fontId="135" fillId="0" borderId="107" xfId="0" applyFont="1" applyBorder="1" applyAlignment="1" applyProtection="1">
      <alignment horizontal="center" vertical="center"/>
      <protection hidden="1"/>
    </xf>
    <xf numFmtId="0" fontId="119" fillId="0" borderId="107" xfId="0" applyFont="1" applyBorder="1" applyAlignment="1" applyProtection="1">
      <alignment horizontal="center" vertical="center"/>
      <protection hidden="1"/>
    </xf>
    <xf numFmtId="0" fontId="99" fillId="0" borderId="107" xfId="0" applyFont="1" applyBorder="1" applyProtection="1">
      <alignment vertical="center"/>
      <protection hidden="1"/>
    </xf>
    <xf numFmtId="0" fontId="116" fillId="0" borderId="0" xfId="0" applyFont="1" applyAlignment="1">
      <alignment horizontal="right" vertical="center"/>
    </xf>
    <xf numFmtId="0" fontId="115" fillId="0" borderId="0" xfId="0" applyFont="1" applyProtection="1">
      <alignment vertical="center"/>
      <protection hidden="1"/>
    </xf>
    <xf numFmtId="0" fontId="120" fillId="0" borderId="4" xfId="0" applyFont="1" applyBorder="1" applyAlignment="1" applyProtection="1">
      <alignment horizontal="right" vertical="center"/>
      <protection hidden="1"/>
    </xf>
    <xf numFmtId="176" fontId="158" fillId="12" borderId="15" xfId="3" applyNumberFormat="1" applyFont="1" applyFill="1" applyBorder="1" applyAlignment="1" applyProtection="1">
      <alignment vertical="center"/>
    </xf>
    <xf numFmtId="0" fontId="135" fillId="0" borderId="100" xfId="0" applyFont="1" applyBorder="1" applyAlignment="1" applyProtection="1">
      <alignment horizontal="center" vertical="center"/>
      <protection hidden="1"/>
    </xf>
    <xf numFmtId="0" fontId="135" fillId="0" borderId="85" xfId="0" applyFont="1" applyBorder="1" applyProtection="1">
      <alignment vertical="center"/>
      <protection hidden="1"/>
    </xf>
    <xf numFmtId="176" fontId="158" fillId="12" borderId="15" xfId="1" applyFont="1" applyFill="1" applyBorder="1" applyAlignment="1" applyProtection="1">
      <alignment vertical="center"/>
    </xf>
    <xf numFmtId="0" fontId="119" fillId="0" borderId="100" xfId="0" applyFont="1" applyBorder="1" applyProtection="1">
      <alignment vertical="center"/>
      <protection hidden="1"/>
    </xf>
    <xf numFmtId="0" fontId="119" fillId="0" borderId="107" xfId="0" applyFont="1" applyBorder="1" applyProtection="1">
      <alignment vertical="center"/>
      <protection hidden="1"/>
    </xf>
    <xf numFmtId="0" fontId="158" fillId="12" borderId="18" xfId="0" applyFont="1" applyFill="1" applyBorder="1" applyProtection="1">
      <alignment vertical="center"/>
      <protection locked="0"/>
    </xf>
    <xf numFmtId="0" fontId="129" fillId="12" borderId="51" xfId="0" applyFont="1" applyFill="1" applyBorder="1" applyProtection="1">
      <alignment vertical="center"/>
      <protection locked="0"/>
    </xf>
    <xf numFmtId="0" fontId="115" fillId="0" borderId="0" xfId="0" applyFont="1" applyAlignment="1" applyProtection="1">
      <alignment horizontal="left" vertical="center"/>
      <protection locked="0"/>
    </xf>
    <xf numFmtId="0" fontId="118" fillId="0" borderId="0" xfId="0" applyFont="1" applyProtection="1">
      <alignment vertical="center"/>
      <protection hidden="1"/>
    </xf>
    <xf numFmtId="0" fontId="115" fillId="0" borderId="0" xfId="0" applyFont="1" applyAlignment="1" applyProtection="1">
      <alignment horizontal="left" vertical="center"/>
      <protection hidden="1"/>
    </xf>
    <xf numFmtId="0" fontId="115" fillId="0" borderId="0" xfId="0" applyFont="1" applyAlignment="1">
      <alignment horizontal="left" vertical="center"/>
    </xf>
    <xf numFmtId="0" fontId="123" fillId="0" borderId="15" xfId="0" applyFont="1" applyBorder="1" applyAlignment="1" applyProtection="1">
      <alignment horizontal="left" vertical="center"/>
      <protection locked="0"/>
    </xf>
    <xf numFmtId="0" fontId="142" fillId="13" borderId="0" xfId="0" applyFont="1" applyFill="1">
      <alignment vertical="center"/>
    </xf>
    <xf numFmtId="0" fontId="114" fillId="0" borderId="0" xfId="0" applyFont="1" applyProtection="1">
      <alignment vertical="center"/>
      <protection hidden="1"/>
    </xf>
    <xf numFmtId="0" fontId="115" fillId="0" borderId="0" xfId="0" applyFont="1" applyAlignment="1" applyProtection="1">
      <alignment horizontal="center" vertical="center"/>
      <protection locked="0"/>
    </xf>
    <xf numFmtId="0" fontId="119" fillId="0" borderId="0" xfId="0" applyFont="1" applyAlignment="1" applyProtection="1">
      <alignment horizontal="right" vertical="center"/>
      <protection hidden="1"/>
    </xf>
    <xf numFmtId="0" fontId="123" fillId="0" borderId="15" xfId="0" applyFont="1" applyBorder="1" applyAlignment="1" applyProtection="1">
      <alignment horizontal="right" vertical="center"/>
      <protection locked="0"/>
    </xf>
    <xf numFmtId="0" fontId="123" fillId="0" borderId="18" xfId="0" applyFont="1" applyBorder="1" applyAlignment="1" applyProtection="1">
      <alignment horizontal="right" vertical="center"/>
      <protection locked="0"/>
    </xf>
    <xf numFmtId="0" fontId="119" fillId="0" borderId="0" xfId="0" applyFont="1" applyAlignment="1">
      <alignment horizontal="right" vertical="center"/>
    </xf>
    <xf numFmtId="0" fontId="115" fillId="0" borderId="0" xfId="0" applyFont="1" applyAlignment="1" applyProtection="1">
      <alignment horizontal="right" vertical="center"/>
      <protection hidden="1"/>
    </xf>
    <xf numFmtId="0" fontId="115" fillId="0" borderId="0" xfId="0" applyFont="1" applyAlignment="1">
      <alignment horizontal="right" vertical="center"/>
    </xf>
    <xf numFmtId="0" fontId="179" fillId="15" borderId="0" xfId="0" applyFont="1" applyFill="1" applyProtection="1">
      <alignment vertical="center"/>
      <protection hidden="1"/>
    </xf>
    <xf numFmtId="0" fontId="180" fillId="15" borderId="0" xfId="0" applyFont="1" applyFill="1" applyProtection="1">
      <alignment vertical="center"/>
      <protection locked="0"/>
    </xf>
    <xf numFmtId="0" fontId="180" fillId="15" borderId="0" xfId="0" applyFont="1" applyFill="1">
      <alignment vertical="center"/>
    </xf>
    <xf numFmtId="0" fontId="181" fillId="15" borderId="0" xfId="0" applyFont="1" applyFill="1" applyProtection="1">
      <alignment vertical="center"/>
      <protection hidden="1"/>
    </xf>
    <xf numFmtId="0" fontId="182" fillId="15" borderId="0" xfId="0" applyFont="1" applyFill="1" applyProtection="1">
      <alignment vertical="center"/>
      <protection hidden="1"/>
    </xf>
    <xf numFmtId="22" fontId="183" fillId="15" borderId="0" xfId="0" applyNumberFormat="1" applyFont="1" applyFill="1" applyProtection="1">
      <alignment vertical="center"/>
      <protection hidden="1"/>
    </xf>
    <xf numFmtId="0" fontId="180" fillId="15" borderId="0" xfId="0" applyFont="1" applyFill="1" applyProtection="1">
      <alignment vertical="center"/>
      <protection hidden="1"/>
    </xf>
    <xf numFmtId="0" fontId="180" fillId="0" borderId="0" xfId="0" applyFont="1">
      <alignment vertical="center"/>
    </xf>
    <xf numFmtId="22" fontId="184" fillId="15" borderId="0" xfId="0" applyNumberFormat="1" applyFont="1" applyFill="1" applyAlignment="1" applyProtection="1">
      <alignment horizontal="center" vertical="center"/>
      <protection hidden="1"/>
    </xf>
    <xf numFmtId="0" fontId="187" fillId="15" borderId="0" xfId="0" applyFont="1" applyFill="1" applyProtection="1">
      <alignment vertical="center"/>
      <protection hidden="1"/>
    </xf>
    <xf numFmtId="0" fontId="180" fillId="15" borderId="0" xfId="0" applyFont="1" applyFill="1" applyAlignment="1" applyProtection="1">
      <alignment horizontal="left"/>
      <protection hidden="1"/>
    </xf>
    <xf numFmtId="0" fontId="189" fillId="15" borderId="0" xfId="0" applyFont="1" applyFill="1" applyAlignment="1" applyProtection="1">
      <alignment horizontal="left" vertical="center"/>
      <protection hidden="1"/>
    </xf>
    <xf numFmtId="0" fontId="189" fillId="15" borderId="0" xfId="0" applyFont="1" applyFill="1" applyProtection="1">
      <alignment vertical="center"/>
      <protection hidden="1"/>
    </xf>
    <xf numFmtId="0" fontId="36" fillId="15" borderId="0" xfId="0" applyFont="1" applyFill="1" applyProtection="1">
      <alignment vertical="center"/>
      <protection hidden="1"/>
    </xf>
    <xf numFmtId="0" fontId="190" fillId="15" borderId="53" xfId="0" applyFont="1" applyFill="1" applyBorder="1" applyProtection="1">
      <alignment vertical="center"/>
      <protection hidden="1"/>
    </xf>
    <xf numFmtId="0" fontId="179" fillId="15" borderId="53" xfId="0" applyFont="1" applyFill="1" applyBorder="1" applyProtection="1">
      <alignment vertical="center"/>
      <protection hidden="1"/>
    </xf>
    <xf numFmtId="0" fontId="180" fillId="15" borderId="53" xfId="0" applyFont="1" applyFill="1" applyBorder="1" applyProtection="1">
      <alignment vertical="center"/>
      <protection hidden="1"/>
    </xf>
    <xf numFmtId="0" fontId="191" fillId="15" borderId="53" xfId="0" applyFont="1" applyFill="1" applyBorder="1" applyAlignment="1" applyProtection="1">
      <protection hidden="1"/>
    </xf>
    <xf numFmtId="0" fontId="179" fillId="15" borderId="25" xfId="0" applyFont="1" applyFill="1" applyBorder="1" applyAlignment="1">
      <alignment horizontal="center" vertical="center"/>
    </xf>
    <xf numFmtId="176" fontId="180" fillId="15" borderId="25" xfId="1" applyFont="1" applyFill="1" applyBorder="1" applyProtection="1">
      <alignment vertical="center"/>
    </xf>
    <xf numFmtId="0" fontId="36" fillId="15" borderId="58" xfId="0" applyFont="1" applyFill="1" applyBorder="1" applyAlignment="1" applyProtection="1">
      <alignment horizontal="left" vertical="center"/>
      <protection hidden="1"/>
    </xf>
    <xf numFmtId="0" fontId="180" fillId="15" borderId="58" xfId="0" applyFont="1" applyFill="1" applyBorder="1" applyProtection="1">
      <alignment vertical="center"/>
      <protection hidden="1"/>
    </xf>
    <xf numFmtId="176" fontId="193" fillId="15" borderId="58" xfId="1" applyFont="1" applyFill="1" applyBorder="1" applyAlignment="1" applyProtection="1">
      <alignment vertical="center" shrinkToFit="1"/>
      <protection hidden="1"/>
    </xf>
    <xf numFmtId="176" fontId="195" fillId="15" borderId="99" xfId="1" applyFont="1" applyFill="1" applyBorder="1" applyAlignment="1" applyProtection="1">
      <alignment vertical="center"/>
      <protection hidden="1"/>
    </xf>
    <xf numFmtId="10" fontId="180" fillId="15" borderId="25" xfId="3" applyNumberFormat="1" applyFont="1" applyFill="1" applyBorder="1" applyProtection="1">
      <alignment vertical="center"/>
    </xf>
    <xf numFmtId="0" fontId="36" fillId="15" borderId="116" xfId="0" applyFont="1" applyFill="1" applyBorder="1" applyAlignment="1" applyProtection="1">
      <alignment horizontal="left" vertical="center"/>
      <protection hidden="1"/>
    </xf>
    <xf numFmtId="176" fontId="196" fillId="15" borderId="0" xfId="1" applyFont="1" applyFill="1" applyBorder="1" applyAlignment="1" applyProtection="1">
      <alignment horizontal="center" vertical="center"/>
      <protection hidden="1"/>
    </xf>
    <xf numFmtId="0" fontId="188" fillId="15" borderId="119" xfId="0" applyFont="1" applyFill="1" applyBorder="1" applyAlignment="1" applyProtection="1">
      <alignment horizontal="left" vertical="center"/>
      <protection hidden="1"/>
    </xf>
    <xf numFmtId="0" fontId="179" fillId="15" borderId="119" xfId="0" applyFont="1" applyFill="1" applyBorder="1" applyProtection="1">
      <alignment vertical="center"/>
      <protection hidden="1"/>
    </xf>
    <xf numFmtId="0" fontId="179" fillId="15" borderId="116" xfId="0" applyFont="1" applyFill="1" applyBorder="1" applyProtection="1">
      <alignment vertical="center"/>
      <protection hidden="1"/>
    </xf>
    <xf numFmtId="0" fontId="179" fillId="15" borderId="116" xfId="0" applyFont="1" applyFill="1" applyBorder="1" applyAlignment="1" applyProtection="1">
      <alignment horizontal="center" vertical="center"/>
      <protection hidden="1"/>
    </xf>
    <xf numFmtId="0" fontId="180" fillId="15" borderId="100" xfId="0" applyFont="1" applyFill="1" applyBorder="1" applyProtection="1">
      <alignment vertical="center"/>
      <protection hidden="1"/>
    </xf>
    <xf numFmtId="0" fontId="179" fillId="15" borderId="100" xfId="0" applyFont="1" applyFill="1" applyBorder="1" applyAlignment="1" applyProtection="1">
      <alignment horizontal="left" vertical="center"/>
      <protection hidden="1"/>
    </xf>
    <xf numFmtId="0" fontId="197" fillId="15" borderId="100" xfId="0" applyFont="1" applyFill="1" applyBorder="1" applyAlignment="1" applyProtection="1">
      <alignment horizontal="left" vertical="center"/>
      <protection hidden="1"/>
    </xf>
    <xf numFmtId="0" fontId="180" fillId="15" borderId="116" xfId="0" applyFont="1" applyFill="1" applyBorder="1" applyProtection="1">
      <alignment vertical="center"/>
      <protection hidden="1"/>
    </xf>
    <xf numFmtId="0" fontId="188" fillId="15" borderId="128" xfId="0" applyFont="1" applyFill="1" applyBorder="1" applyProtection="1">
      <alignment vertical="center"/>
      <protection hidden="1"/>
    </xf>
    <xf numFmtId="0" fontId="179" fillId="15" borderId="128" xfId="0" applyFont="1" applyFill="1" applyBorder="1" applyProtection="1">
      <alignment vertical="center"/>
      <protection hidden="1"/>
    </xf>
    <xf numFmtId="0" fontId="36" fillId="15" borderId="128" xfId="0" applyFont="1" applyFill="1" applyBorder="1" applyAlignment="1" applyProtection="1">
      <alignment horizontal="left" vertical="center"/>
      <protection hidden="1"/>
    </xf>
    <xf numFmtId="0" fontId="179" fillId="15" borderId="128" xfId="0" applyFont="1" applyFill="1" applyBorder="1" applyAlignment="1" applyProtection="1">
      <alignment horizontal="center" vertical="center"/>
      <protection hidden="1"/>
    </xf>
    <xf numFmtId="0" fontId="179" fillId="15" borderId="0" xfId="0" applyFont="1" applyFill="1" applyAlignment="1" applyProtection="1">
      <alignment horizontal="left" vertical="center"/>
      <protection hidden="1"/>
    </xf>
    <xf numFmtId="0" fontId="199" fillId="15" borderId="130" xfId="0" applyFont="1" applyFill="1" applyBorder="1" applyProtection="1">
      <alignment vertical="center"/>
      <protection hidden="1"/>
    </xf>
    <xf numFmtId="0" fontId="198" fillId="15" borderId="130" xfId="0" applyFont="1" applyFill="1" applyBorder="1" applyProtection="1">
      <alignment vertical="center"/>
      <protection hidden="1"/>
    </xf>
    <xf numFmtId="0" fontId="199" fillId="15" borderId="0" xfId="0" applyFont="1" applyFill="1" applyAlignment="1" applyProtection="1">
      <alignment horizontal="left" vertical="center"/>
      <protection hidden="1"/>
    </xf>
    <xf numFmtId="0" fontId="198" fillId="15" borderId="0" xfId="0" applyFont="1" applyFill="1" applyProtection="1">
      <alignment vertical="center"/>
      <protection hidden="1"/>
    </xf>
    <xf numFmtId="0" fontId="188" fillId="15" borderId="0" xfId="0" applyFont="1" applyFill="1" applyProtection="1">
      <alignment vertical="center"/>
      <protection hidden="1"/>
    </xf>
    <xf numFmtId="0" fontId="194" fillId="15" borderId="0" xfId="0" applyFont="1" applyFill="1" applyAlignment="1" applyProtection="1">
      <alignment horizontal="right" vertical="center"/>
      <protection hidden="1"/>
    </xf>
    <xf numFmtId="0" fontId="179" fillId="15" borderId="0" xfId="0" applyFont="1" applyFill="1" applyAlignment="1" applyProtection="1">
      <alignment horizontal="right" vertical="center"/>
      <protection hidden="1"/>
    </xf>
    <xf numFmtId="0" fontId="179" fillId="15" borderId="177" xfId="0" applyFont="1" applyFill="1" applyBorder="1" applyProtection="1">
      <alignment vertical="center"/>
      <protection hidden="1"/>
    </xf>
    <xf numFmtId="9" fontId="179" fillId="15" borderId="177" xfId="3" applyFont="1" applyFill="1" applyBorder="1" applyAlignment="1" applyProtection="1">
      <alignment vertical="center"/>
      <protection hidden="1"/>
    </xf>
    <xf numFmtId="176" fontId="197" fillId="15" borderId="177" xfId="1" applyFont="1" applyFill="1" applyBorder="1" applyAlignment="1" applyProtection="1">
      <alignment horizontal="center" vertical="center"/>
      <protection hidden="1"/>
    </xf>
    <xf numFmtId="176" fontId="179" fillId="15" borderId="177" xfId="1" applyFont="1" applyFill="1" applyBorder="1" applyAlignment="1" applyProtection="1">
      <alignment vertical="center"/>
      <protection hidden="1"/>
    </xf>
    <xf numFmtId="176" fontId="179" fillId="15" borderId="177" xfId="1" applyFont="1" applyFill="1" applyBorder="1" applyAlignment="1" applyProtection="1">
      <alignment horizontal="center" vertical="center"/>
      <protection hidden="1"/>
    </xf>
    <xf numFmtId="176" fontId="197" fillId="15" borderId="177" xfId="1" applyFont="1" applyFill="1" applyBorder="1" applyAlignment="1" applyProtection="1">
      <alignment vertical="center"/>
      <protection hidden="1"/>
    </xf>
    <xf numFmtId="9" fontId="179" fillId="15" borderId="0" xfId="3" applyFont="1" applyFill="1" applyBorder="1" applyAlignment="1" applyProtection="1">
      <alignment vertical="center"/>
      <protection hidden="1"/>
    </xf>
    <xf numFmtId="176" fontId="197" fillId="15" borderId="0" xfId="1" applyFont="1" applyFill="1" applyBorder="1" applyAlignment="1" applyProtection="1">
      <alignment horizontal="center" vertical="center"/>
      <protection hidden="1"/>
    </xf>
    <xf numFmtId="176" fontId="179" fillId="15" borderId="0" xfId="1" applyFont="1" applyFill="1" applyBorder="1" applyAlignment="1" applyProtection="1">
      <alignment vertical="center"/>
      <protection hidden="1"/>
    </xf>
    <xf numFmtId="176" fontId="179" fillId="15" borderId="0" xfId="1" applyFont="1" applyFill="1" applyBorder="1" applyAlignment="1" applyProtection="1">
      <alignment horizontal="center" vertical="center"/>
      <protection hidden="1"/>
    </xf>
    <xf numFmtId="176" fontId="197" fillId="15" borderId="0" xfId="1" applyFont="1" applyFill="1" applyBorder="1" applyAlignment="1" applyProtection="1">
      <alignment vertical="center"/>
      <protection hidden="1"/>
    </xf>
    <xf numFmtId="176" fontId="195" fillId="15" borderId="0" xfId="1" applyFont="1" applyFill="1" applyBorder="1" applyAlignment="1" applyProtection="1">
      <alignment vertical="center"/>
      <protection hidden="1"/>
    </xf>
    <xf numFmtId="0" fontId="195" fillId="15" borderId="0" xfId="0" applyFont="1" applyFill="1" applyAlignment="1" applyProtection="1">
      <alignment horizontal="center" vertical="center"/>
      <protection hidden="1"/>
    </xf>
    <xf numFmtId="0" fontId="195" fillId="15" borderId="0" xfId="0" applyFont="1" applyFill="1" applyProtection="1">
      <alignment vertical="center"/>
      <protection hidden="1"/>
    </xf>
    <xf numFmtId="0" fontId="200" fillId="15" borderId="0" xfId="0" applyFont="1" applyFill="1" applyProtection="1">
      <alignment vertical="center"/>
      <protection hidden="1"/>
    </xf>
    <xf numFmtId="176" fontId="201" fillId="15" borderId="0" xfId="1" applyFont="1" applyFill="1" applyBorder="1" applyAlignment="1" applyProtection="1">
      <alignment horizontal="center" vertical="center"/>
      <protection hidden="1"/>
    </xf>
    <xf numFmtId="176" fontId="202" fillId="15" borderId="0" xfId="1" applyFont="1" applyFill="1" applyBorder="1" applyAlignment="1" applyProtection="1">
      <alignment horizontal="center" vertical="center"/>
      <protection hidden="1"/>
    </xf>
    <xf numFmtId="176" fontId="200" fillId="15" borderId="0" xfId="1" applyFont="1" applyFill="1" applyBorder="1" applyAlignment="1" applyProtection="1">
      <alignment vertical="center"/>
      <protection hidden="1"/>
    </xf>
    <xf numFmtId="176" fontId="200" fillId="15" borderId="0" xfId="1" applyFont="1" applyFill="1" applyBorder="1" applyAlignment="1" applyProtection="1">
      <alignment horizontal="center" vertical="center"/>
      <protection hidden="1"/>
    </xf>
    <xf numFmtId="176" fontId="201" fillId="15" borderId="0" xfId="1" applyFont="1" applyFill="1" applyBorder="1" applyAlignment="1" applyProtection="1">
      <alignment vertical="center"/>
      <protection hidden="1"/>
    </xf>
    <xf numFmtId="0" fontId="189" fillId="15" borderId="124" xfId="0" applyFont="1" applyFill="1" applyBorder="1" applyProtection="1">
      <alignment vertical="center"/>
      <protection hidden="1"/>
    </xf>
    <xf numFmtId="0" fontId="189" fillId="15" borderId="120" xfId="0" applyFont="1" applyFill="1" applyBorder="1" applyProtection="1">
      <alignment vertical="center"/>
      <protection hidden="1"/>
    </xf>
    <xf numFmtId="0" fontId="36" fillId="15" borderId="124" xfId="0" applyFont="1" applyFill="1" applyBorder="1" applyProtection="1">
      <alignment vertical="center"/>
      <protection hidden="1"/>
    </xf>
    <xf numFmtId="0" fontId="197" fillId="15" borderId="0" xfId="0" applyFont="1" applyFill="1" applyProtection="1">
      <alignment vertical="center"/>
      <protection hidden="1"/>
    </xf>
    <xf numFmtId="0" fontId="180" fillId="15" borderId="56" xfId="0" applyFont="1" applyFill="1" applyBorder="1" applyProtection="1">
      <alignment vertical="center"/>
      <protection hidden="1"/>
    </xf>
    <xf numFmtId="0" fontId="180" fillId="15" borderId="120" xfId="0" applyFont="1" applyFill="1" applyBorder="1" applyAlignment="1" applyProtection="1">
      <alignment horizontal="left" vertical="center"/>
      <protection hidden="1"/>
    </xf>
    <xf numFmtId="0" fontId="180" fillId="15" borderId="120" xfId="0" applyFont="1" applyFill="1" applyBorder="1" applyAlignment="1" applyProtection="1">
      <alignment horizontal="center" vertical="center"/>
      <protection hidden="1"/>
    </xf>
    <xf numFmtId="176" fontId="203" fillId="15" borderId="100" xfId="0" applyNumberFormat="1" applyFont="1" applyFill="1" applyBorder="1" applyProtection="1">
      <alignment vertical="center"/>
      <protection hidden="1"/>
    </xf>
    <xf numFmtId="176" fontId="198" fillId="15" borderId="95" xfId="0" applyNumberFormat="1" applyFont="1" applyFill="1" applyBorder="1" applyProtection="1">
      <alignment vertical="center"/>
      <protection hidden="1"/>
    </xf>
    <xf numFmtId="176" fontId="205" fillId="15" borderId="0" xfId="0" applyNumberFormat="1" applyFont="1" applyFill="1" applyAlignment="1" applyProtection="1">
      <alignment vertical="center" shrinkToFit="1"/>
      <protection hidden="1"/>
    </xf>
    <xf numFmtId="176" fontId="206" fillId="15" borderId="178" xfId="0" applyNumberFormat="1" applyFont="1" applyFill="1" applyBorder="1" applyProtection="1">
      <alignment vertical="center"/>
      <protection hidden="1"/>
    </xf>
    <xf numFmtId="176" fontId="206" fillId="15" borderId="178" xfId="0" applyNumberFormat="1" applyFont="1" applyFill="1" applyBorder="1" applyAlignment="1" applyProtection="1">
      <alignment vertical="center" shrinkToFit="1"/>
      <protection hidden="1"/>
    </xf>
    <xf numFmtId="176" fontId="206" fillId="15" borderId="178" xfId="0" applyNumberFormat="1" applyFont="1" applyFill="1" applyBorder="1" applyAlignment="1" applyProtection="1">
      <alignment horizontal="center" vertical="center"/>
      <protection hidden="1"/>
    </xf>
    <xf numFmtId="176" fontId="205" fillId="15" borderId="4" xfId="0" applyNumberFormat="1" applyFont="1" applyFill="1" applyBorder="1" applyAlignment="1" applyProtection="1">
      <alignment vertical="center" shrinkToFit="1"/>
      <protection hidden="1"/>
    </xf>
    <xf numFmtId="0" fontId="208" fillId="15" borderId="0" xfId="0" applyFont="1" applyFill="1" applyProtection="1">
      <alignment vertical="center"/>
      <protection hidden="1"/>
    </xf>
    <xf numFmtId="0" fontId="209" fillId="15" borderId="0" xfId="0" applyFont="1" applyFill="1" applyAlignment="1" applyProtection="1">
      <alignment horizontal="center" vertical="center"/>
      <protection hidden="1"/>
    </xf>
    <xf numFmtId="0" fontId="208" fillId="15" borderId="0" xfId="0" applyFont="1" applyFill="1" applyAlignment="1" applyProtection="1">
      <alignment horizontal="left" vertical="center"/>
      <protection hidden="1"/>
    </xf>
    <xf numFmtId="0" fontId="40" fillId="15" borderId="0" xfId="0" applyFont="1" applyFill="1" applyProtection="1">
      <alignment vertical="center"/>
      <protection hidden="1"/>
    </xf>
    <xf numFmtId="0" fontId="197" fillId="15" borderId="0" xfId="0" applyFont="1" applyFill="1" applyAlignment="1" applyProtection="1">
      <alignment horizontal="left" vertical="center"/>
      <protection hidden="1"/>
    </xf>
    <xf numFmtId="0" fontId="209" fillId="15" borderId="53" xfId="0" applyFont="1" applyFill="1" applyBorder="1" applyAlignment="1" applyProtection="1">
      <alignment horizontal="center" vertical="center"/>
      <protection hidden="1"/>
    </xf>
    <xf numFmtId="0" fontId="208" fillId="15" borderId="53" xfId="0" applyFont="1" applyFill="1" applyBorder="1" applyAlignment="1" applyProtection="1">
      <alignment horizontal="left" vertical="center"/>
      <protection hidden="1"/>
    </xf>
    <xf numFmtId="0" fontId="179" fillId="15" borderId="131" xfId="0" applyFont="1" applyFill="1" applyBorder="1" applyAlignment="1" applyProtection="1">
      <alignment horizontal="left" vertical="center"/>
      <protection hidden="1"/>
    </xf>
    <xf numFmtId="0" fontId="211" fillId="15" borderId="181" xfId="0" applyFont="1" applyFill="1" applyBorder="1" applyAlignment="1" applyProtection="1">
      <alignment horizontal="center" vertical="center"/>
      <protection hidden="1"/>
    </xf>
    <xf numFmtId="0" fontId="193" fillId="15" borderId="181" xfId="0" applyFont="1" applyFill="1" applyBorder="1" applyProtection="1">
      <alignment vertical="center"/>
      <protection hidden="1"/>
    </xf>
    <xf numFmtId="0" fontId="211" fillId="15" borderId="181" xfId="0" applyFont="1" applyFill="1" applyBorder="1" applyProtection="1">
      <alignment vertical="center"/>
      <protection hidden="1"/>
    </xf>
    <xf numFmtId="0" fontId="194" fillId="15" borderId="0" xfId="0" applyFont="1" applyFill="1" applyProtection="1">
      <alignment vertical="center"/>
      <protection hidden="1"/>
    </xf>
    <xf numFmtId="0" fontId="212" fillId="15" borderId="120" xfId="0" applyFont="1" applyFill="1" applyBorder="1" applyProtection="1">
      <alignment vertical="center"/>
      <protection hidden="1"/>
    </xf>
    <xf numFmtId="0" fontId="49" fillId="15" borderId="120" xfId="0" applyFont="1" applyFill="1" applyBorder="1" applyProtection="1">
      <alignment vertical="center"/>
      <protection hidden="1"/>
    </xf>
    <xf numFmtId="0" fontId="194" fillId="15" borderId="120" xfId="0" applyFont="1" applyFill="1" applyBorder="1" applyProtection="1">
      <alignment vertical="center"/>
      <protection hidden="1"/>
    </xf>
    <xf numFmtId="0" fontId="180" fillId="0" borderId="94" xfId="0" applyFont="1" applyBorder="1" applyProtection="1">
      <alignment vertical="center"/>
      <protection hidden="1"/>
    </xf>
    <xf numFmtId="0" fontId="194" fillId="15" borderId="94" xfId="0" applyFont="1" applyFill="1" applyBorder="1" applyAlignment="1" applyProtection="1">
      <alignment horizontal="center" vertical="center"/>
      <protection hidden="1"/>
    </xf>
    <xf numFmtId="0" fontId="49" fillId="15" borderId="94" xfId="0" applyFont="1" applyFill="1" applyBorder="1" applyAlignment="1" applyProtection="1">
      <alignment horizontal="center" vertical="center"/>
      <protection hidden="1"/>
    </xf>
    <xf numFmtId="0" fontId="212" fillId="15" borderId="94" xfId="0" applyFont="1" applyFill="1" applyBorder="1" applyProtection="1">
      <alignment vertical="center"/>
      <protection hidden="1"/>
    </xf>
    <xf numFmtId="0" fontId="49" fillId="15" borderId="94" xfId="0" applyFont="1" applyFill="1" applyBorder="1" applyProtection="1">
      <alignment vertical="center"/>
      <protection hidden="1"/>
    </xf>
    <xf numFmtId="0" fontId="194" fillId="15" borderId="94" xfId="0" applyFont="1" applyFill="1" applyBorder="1" applyProtection="1">
      <alignment vertical="center"/>
      <protection hidden="1"/>
    </xf>
    <xf numFmtId="0" fontId="180" fillId="0" borderId="4" xfId="0" applyFont="1" applyBorder="1" applyProtection="1">
      <alignment vertical="center"/>
      <protection hidden="1"/>
    </xf>
    <xf numFmtId="0" fontId="194" fillId="15" borderId="4" xfId="0" applyFont="1" applyFill="1" applyBorder="1" applyAlignment="1" applyProtection="1">
      <alignment horizontal="center" vertical="center"/>
      <protection hidden="1"/>
    </xf>
    <xf numFmtId="0" fontId="180" fillId="15" borderId="4" xfId="0" applyFont="1" applyFill="1" applyBorder="1" applyProtection="1">
      <alignment vertical="center"/>
      <protection hidden="1"/>
    </xf>
    <xf numFmtId="0" fontId="49" fillId="15" borderId="4" xfId="0" applyFont="1" applyFill="1" applyBorder="1" applyAlignment="1" applyProtection="1">
      <alignment horizontal="center" vertical="center"/>
      <protection hidden="1"/>
    </xf>
    <xf numFmtId="0" fontId="212" fillId="15" borderId="4" xfId="0" applyFont="1" applyFill="1" applyBorder="1" applyProtection="1">
      <alignment vertical="center"/>
      <protection hidden="1"/>
    </xf>
    <xf numFmtId="0" fontId="49" fillId="15" borderId="4" xfId="0" applyFont="1" applyFill="1" applyBorder="1" applyProtection="1">
      <alignment vertical="center"/>
      <protection hidden="1"/>
    </xf>
    <xf numFmtId="0" fontId="194" fillId="15" borderId="4" xfId="0" applyFont="1" applyFill="1" applyBorder="1" applyProtection="1">
      <alignment vertical="center"/>
      <protection hidden="1"/>
    </xf>
    <xf numFmtId="0" fontId="180" fillId="15" borderId="0" xfId="0" applyFont="1" applyFill="1" applyAlignment="1" applyProtection="1">
      <alignment horizontal="left" vertical="center"/>
      <protection hidden="1"/>
    </xf>
    <xf numFmtId="0" fontId="213" fillId="15" borderId="0" xfId="0" applyFont="1" applyFill="1" applyProtection="1">
      <alignment vertical="center"/>
      <protection hidden="1"/>
    </xf>
    <xf numFmtId="0" fontId="36" fillId="15" borderId="58" xfId="0" applyFont="1" applyFill="1" applyBorder="1" applyProtection="1">
      <alignment vertical="center"/>
      <protection hidden="1"/>
    </xf>
    <xf numFmtId="0" fontId="188" fillId="15" borderId="58" xfId="0" applyFont="1" applyFill="1" applyBorder="1" applyProtection="1">
      <alignment vertical="center"/>
      <protection hidden="1"/>
    </xf>
    <xf numFmtId="0" fontId="188" fillId="15" borderId="58" xfId="0" applyFont="1" applyFill="1" applyBorder="1" applyAlignment="1" applyProtection="1">
      <alignment horizontal="center" vertical="center"/>
      <protection hidden="1"/>
    </xf>
    <xf numFmtId="0" fontId="188" fillId="15" borderId="58" xfId="0" applyFont="1" applyFill="1" applyBorder="1" applyAlignment="1" applyProtection="1">
      <alignment horizontal="left" vertical="center"/>
      <protection hidden="1"/>
    </xf>
    <xf numFmtId="0" fontId="181" fillId="15" borderId="58" xfId="0" applyFont="1" applyFill="1" applyBorder="1" applyProtection="1">
      <alignment vertical="center"/>
      <protection hidden="1"/>
    </xf>
    <xf numFmtId="9" fontId="181" fillId="15" borderId="53" xfId="0" applyNumberFormat="1" applyFont="1" applyFill="1" applyBorder="1" applyProtection="1">
      <alignment vertical="center"/>
      <protection hidden="1"/>
    </xf>
    <xf numFmtId="0" fontId="181" fillId="15" borderId="53" xfId="0" applyFont="1" applyFill="1" applyBorder="1" applyAlignment="1" applyProtection="1">
      <alignment horizontal="left" vertical="center"/>
      <protection hidden="1"/>
    </xf>
    <xf numFmtId="0" fontId="197" fillId="15" borderId="53" xfId="0" applyFont="1" applyFill="1" applyBorder="1" applyAlignment="1" applyProtection="1">
      <alignment horizontal="center" vertical="center"/>
      <protection hidden="1"/>
    </xf>
    <xf numFmtId="0" fontId="197" fillId="15" borderId="53" xfId="0" applyFont="1" applyFill="1" applyBorder="1" applyProtection="1">
      <alignment vertical="center"/>
      <protection hidden="1"/>
    </xf>
    <xf numFmtId="0" fontId="213" fillId="15" borderId="128" xfId="0" applyFont="1" applyFill="1" applyBorder="1" applyAlignment="1" applyProtection="1">
      <alignment horizontal="center" vertical="center"/>
      <protection hidden="1"/>
    </xf>
    <xf numFmtId="0" fontId="188" fillId="15" borderId="53" xfId="0" applyFont="1" applyFill="1" applyBorder="1" applyProtection="1">
      <alignment vertical="center"/>
      <protection hidden="1"/>
    </xf>
    <xf numFmtId="0" fontId="181" fillId="15" borderId="53" xfId="0" applyFont="1" applyFill="1" applyBorder="1" applyProtection="1">
      <alignment vertical="center"/>
      <protection hidden="1"/>
    </xf>
    <xf numFmtId="0" fontId="181" fillId="0" borderId="53" xfId="0" applyFont="1" applyBorder="1" applyAlignment="1">
      <alignment horizontal="center" vertical="center"/>
    </xf>
    <xf numFmtId="0" fontId="214" fillId="15" borderId="0" xfId="0" applyFont="1" applyFill="1" applyProtection="1">
      <alignment vertical="center"/>
      <protection hidden="1"/>
    </xf>
    <xf numFmtId="0" fontId="181" fillId="0" borderId="0" xfId="0" applyFont="1">
      <alignment vertical="center"/>
    </xf>
    <xf numFmtId="0" fontId="181" fillId="15" borderId="178" xfId="0" applyFont="1" applyFill="1" applyBorder="1" applyProtection="1">
      <alignment vertical="center"/>
      <protection hidden="1"/>
    </xf>
    <xf numFmtId="0" fontId="99" fillId="0" borderId="0" xfId="0" applyFont="1">
      <alignment vertical="center"/>
    </xf>
    <xf numFmtId="0" fontId="116" fillId="0" borderId="0" xfId="0" applyFont="1">
      <alignment vertical="center"/>
    </xf>
    <xf numFmtId="0" fontId="99" fillId="0" borderId="0" xfId="0" applyFont="1" applyProtection="1">
      <alignment vertical="center"/>
      <protection locked="0" hidden="1"/>
    </xf>
    <xf numFmtId="0" fontId="118" fillId="0" borderId="0" xfId="0" applyFont="1" applyProtection="1">
      <alignment vertical="center"/>
      <protection locked="0" hidden="1"/>
    </xf>
    <xf numFmtId="0" fontId="99" fillId="0" borderId="0" xfId="0" applyFont="1" applyProtection="1">
      <alignment vertical="center"/>
      <protection locked="0"/>
    </xf>
    <xf numFmtId="0" fontId="99" fillId="0" borderId="53" xfId="0" applyFont="1" applyBorder="1" applyProtection="1">
      <alignment vertical="center"/>
      <protection locked="0"/>
    </xf>
    <xf numFmtId="0" fontId="99" fillId="0" borderId="0" xfId="0" applyFont="1" applyProtection="1">
      <alignment vertical="center"/>
      <protection hidden="1"/>
    </xf>
    <xf numFmtId="0" fontId="135" fillId="13" borderId="0" xfId="0" applyFont="1" applyFill="1" applyProtection="1">
      <alignment vertical="center"/>
      <protection locked="0"/>
    </xf>
    <xf numFmtId="0" fontId="126" fillId="0" borderId="4" xfId="0" applyFont="1" applyBorder="1" applyAlignment="1" applyProtection="1">
      <alignment horizontal="left" vertical="center"/>
      <protection locked="0" hidden="1"/>
    </xf>
    <xf numFmtId="0" fontId="99" fillId="0" borderId="4" xfId="0" applyFont="1" applyBorder="1" applyProtection="1">
      <alignment vertical="center"/>
      <protection locked="0" hidden="1"/>
    </xf>
    <xf numFmtId="0" fontId="99" fillId="0" borderId="4" xfId="0" applyFont="1" applyBorder="1" applyProtection="1">
      <alignment vertical="center"/>
      <protection hidden="1"/>
    </xf>
    <xf numFmtId="0" fontId="136" fillId="0" borderId="4" xfId="0" applyFont="1" applyBorder="1" applyProtection="1">
      <alignment vertical="center"/>
      <protection hidden="1"/>
    </xf>
    <xf numFmtId="0" fontId="138" fillId="0" borderId="4" xfId="0" applyFont="1" applyBorder="1" applyProtection="1">
      <alignment vertical="center"/>
      <protection hidden="1"/>
    </xf>
    <xf numFmtId="0" fontId="140" fillId="0" borderId="0" xfId="0" applyFont="1" applyAlignment="1" applyProtection="1">
      <alignment horizontal="right" vertical="center"/>
      <protection hidden="1"/>
    </xf>
    <xf numFmtId="0" fontId="118" fillId="0" borderId="4" xfId="0" applyFont="1" applyBorder="1" applyAlignment="1" applyProtection="1">
      <alignment horizontal="left" vertical="center"/>
      <protection hidden="1"/>
    </xf>
    <xf numFmtId="44" fontId="99" fillId="0" borderId="0" xfId="0" applyNumberFormat="1" applyFont="1" applyProtection="1">
      <alignment vertical="center"/>
      <protection locked="0"/>
    </xf>
    <xf numFmtId="176" fontId="99" fillId="0" borderId="0" xfId="1" applyFont="1" applyFill="1" applyAlignment="1" applyProtection="1">
      <alignment vertical="center"/>
      <protection locked="0"/>
    </xf>
    <xf numFmtId="0" fontId="99" fillId="0" borderId="85" xfId="0" applyFont="1" applyBorder="1">
      <alignment vertical="center"/>
    </xf>
    <xf numFmtId="0" fontId="115" fillId="0" borderId="85" xfId="0" applyFont="1" applyBorder="1" applyProtection="1">
      <alignment vertical="center"/>
      <protection hidden="1"/>
    </xf>
    <xf numFmtId="0" fontId="119" fillId="0" borderId="94" xfId="0" applyFont="1" applyBorder="1">
      <alignment vertical="center"/>
    </xf>
    <xf numFmtId="0" fontId="142" fillId="0" borderId="94" xfId="0" applyFont="1" applyBorder="1">
      <alignment vertical="center"/>
    </xf>
    <xf numFmtId="0" fontId="135" fillId="0" borderId="94" xfId="0" applyFont="1" applyBorder="1">
      <alignment vertical="center"/>
    </xf>
    <xf numFmtId="0" fontId="99" fillId="0" borderId="94" xfId="0" applyFont="1" applyBorder="1">
      <alignment vertical="center"/>
    </xf>
    <xf numFmtId="0" fontId="115" fillId="0" borderId="94" xfId="0" applyFont="1" applyBorder="1" applyProtection="1">
      <alignment vertical="center"/>
      <protection hidden="1"/>
    </xf>
    <xf numFmtId="0" fontId="119" fillId="0" borderId="4" xfId="0" applyFont="1" applyBorder="1">
      <alignment vertical="center"/>
    </xf>
    <xf numFmtId="0" fontId="142" fillId="0" borderId="4" xfId="0" applyFont="1" applyBorder="1">
      <alignment vertical="center"/>
    </xf>
    <xf numFmtId="0" fontId="135" fillId="0" borderId="107" xfId="0" applyFont="1" applyBorder="1">
      <alignment vertical="center"/>
    </xf>
    <xf numFmtId="0" fontId="99" fillId="0" borderId="107" xfId="0" applyFont="1" applyBorder="1">
      <alignment vertical="center"/>
    </xf>
    <xf numFmtId="0" fontId="120" fillId="0" borderId="4" xfId="0" applyFont="1" applyBorder="1" applyProtection="1">
      <alignment vertical="center"/>
      <protection hidden="1"/>
    </xf>
    <xf numFmtId="0" fontId="99" fillId="0" borderId="4" xfId="0" applyFont="1" applyBorder="1">
      <alignment vertical="center"/>
    </xf>
    <xf numFmtId="0" fontId="119" fillId="0" borderId="4" xfId="0" applyFont="1" applyBorder="1" applyProtection="1">
      <alignment vertical="center"/>
      <protection hidden="1"/>
    </xf>
    <xf numFmtId="0" fontId="120" fillId="0" borderId="4" xfId="0" applyFont="1" applyBorder="1">
      <alignment vertical="center"/>
    </xf>
    <xf numFmtId="0" fontId="99" fillId="15" borderId="4" xfId="0" applyFont="1" applyFill="1" applyBorder="1" applyProtection="1">
      <alignment vertical="center"/>
      <protection hidden="1"/>
    </xf>
    <xf numFmtId="0" fontId="135" fillId="0" borderId="100" xfId="0" applyFont="1" applyBorder="1">
      <alignment vertical="center"/>
    </xf>
    <xf numFmtId="0" fontId="119" fillId="0" borderId="0" xfId="0" applyFont="1" applyProtection="1">
      <alignment vertical="center"/>
      <protection locked="0" hidden="1"/>
    </xf>
    <xf numFmtId="0" fontId="119" fillId="0" borderId="107" xfId="0" applyFont="1" applyBorder="1">
      <alignment vertical="center"/>
    </xf>
    <xf numFmtId="0" fontId="115" fillId="0" borderId="0" xfId="0" applyFont="1" applyProtection="1">
      <alignment vertical="center"/>
      <protection locked="0"/>
    </xf>
    <xf numFmtId="0" fontId="176" fillId="0" borderId="0" xfId="0" applyFont="1" applyProtection="1">
      <alignment vertical="center"/>
      <protection hidden="1"/>
    </xf>
    <xf numFmtId="0" fontId="119" fillId="0" borderId="0" xfId="0" applyFont="1">
      <alignment vertical="center"/>
    </xf>
    <xf numFmtId="0" fontId="99" fillId="13" borderId="0" xfId="0" applyFont="1" applyFill="1" applyProtection="1">
      <alignment vertical="center"/>
      <protection locked="0"/>
    </xf>
    <xf numFmtId="0" fontId="119" fillId="15" borderId="0" xfId="0" applyFont="1" applyFill="1" applyProtection="1">
      <alignment vertical="center"/>
      <protection hidden="1"/>
    </xf>
    <xf numFmtId="0" fontId="177" fillId="0" borderId="0" xfId="0" applyFont="1" applyProtection="1">
      <alignment vertical="center"/>
      <protection hidden="1"/>
    </xf>
    <xf numFmtId="0" fontId="115" fillId="0" borderId="0" xfId="0" applyFont="1">
      <alignment vertical="center"/>
    </xf>
    <xf numFmtId="0" fontId="115" fillId="15" borderId="0" xfId="0" applyFont="1" applyFill="1" applyProtection="1">
      <alignment vertical="center"/>
      <protection hidden="1"/>
    </xf>
    <xf numFmtId="0" fontId="115" fillId="0" borderId="0" xfId="0" applyFont="1" applyProtection="1">
      <alignment vertical="center"/>
      <protection locked="0" hidden="1"/>
    </xf>
    <xf numFmtId="199" fontId="18" fillId="0" borderId="0" xfId="3" applyNumberFormat="1" applyFont="1" applyFill="1" applyAlignment="1">
      <alignment horizontal="center" vertical="center"/>
    </xf>
    <xf numFmtId="0" fontId="16" fillId="0" borderId="47" xfId="0" applyFont="1" applyBorder="1" applyProtection="1">
      <alignment vertical="center"/>
      <protection locked="0"/>
    </xf>
    <xf numFmtId="181" fontId="18" fillId="5" borderId="0" xfId="3" applyNumberFormat="1" applyFont="1" applyFill="1" applyBorder="1" applyAlignment="1">
      <alignment horizontal="center" vertical="center"/>
    </xf>
    <xf numFmtId="0" fontId="94" fillId="0" borderId="20" xfId="40" applyFont="1" applyBorder="1" applyAlignment="1">
      <alignment vertical="center" wrapText="1"/>
    </xf>
    <xf numFmtId="0" fontId="93" fillId="0" borderId="20" xfId="40" applyFont="1" applyBorder="1">
      <alignment vertical="center"/>
    </xf>
    <xf numFmtId="0" fontId="89" fillId="0" borderId="15" xfId="40" applyFont="1" applyBorder="1" applyAlignment="1">
      <alignment horizontal="center" vertical="center"/>
    </xf>
    <xf numFmtId="0" fontId="89" fillId="18" borderId="15" xfId="40" applyFont="1" applyFill="1" applyBorder="1" applyAlignment="1">
      <alignment horizontal="center" vertical="center"/>
    </xf>
    <xf numFmtId="0" fontId="89" fillId="0" borderId="22" xfId="40" applyFont="1" applyBorder="1" applyAlignment="1">
      <alignment horizontal="center" vertical="center"/>
    </xf>
    <xf numFmtId="0" fontId="89" fillId="18" borderId="22" xfId="40" applyFont="1" applyFill="1" applyBorder="1" applyAlignment="1">
      <alignment horizontal="center" vertical="center"/>
    </xf>
    <xf numFmtId="181" fontId="93" fillId="7" borderId="22" xfId="40" applyNumberFormat="1" applyFont="1" applyFill="1" applyBorder="1" applyAlignment="1">
      <alignment horizontal="center" vertical="center"/>
    </xf>
    <xf numFmtId="176" fontId="87" fillId="0" borderId="152" xfId="41" applyFont="1" applyFill="1" applyBorder="1" applyAlignment="1">
      <alignment horizontal="center" vertical="center"/>
    </xf>
    <xf numFmtId="0" fontId="93" fillId="0" borderId="20" xfId="40" applyFont="1" applyBorder="1" applyAlignment="1">
      <alignment horizontal="left" vertical="center"/>
    </xf>
    <xf numFmtId="0" fontId="18" fillId="0" borderId="0" xfId="0" applyFont="1">
      <alignment vertical="center"/>
    </xf>
    <xf numFmtId="0" fontId="159" fillId="0" borderId="0" xfId="0" applyFont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176" fontId="10" fillId="0" borderId="15" xfId="1" applyFont="1" applyBorder="1" applyProtection="1">
      <alignment vertical="center"/>
      <protection locked="0"/>
    </xf>
    <xf numFmtId="0" fontId="10" fillId="6" borderId="15" xfId="0" applyFont="1" applyFill="1" applyBorder="1" applyProtection="1">
      <alignment vertical="center"/>
      <protection locked="0"/>
    </xf>
    <xf numFmtId="0" fontId="10" fillId="0" borderId="47" xfId="0" applyFont="1" applyBorder="1" applyAlignment="1">
      <alignment horizontal="center" vertical="center"/>
    </xf>
    <xf numFmtId="44" fontId="32" fillId="0" borderId="0" xfId="1" applyNumberFormat="1" applyFont="1" applyFill="1" applyBorder="1" applyProtection="1">
      <alignment vertical="center"/>
      <protection locked="0"/>
    </xf>
    <xf numFmtId="177" fontId="0" fillId="0" borderId="15" xfId="1" applyNumberFormat="1" applyFont="1" applyFill="1" applyBorder="1">
      <alignment vertical="center"/>
    </xf>
    <xf numFmtId="0" fontId="159" fillId="0" borderId="0" xfId="0" applyFont="1" applyProtection="1">
      <alignment vertical="center"/>
      <protection hidden="1"/>
    </xf>
    <xf numFmtId="0" fontId="0" fillId="15" borderId="1" xfId="0" applyFill="1" applyBorder="1">
      <alignment vertical="center"/>
    </xf>
    <xf numFmtId="0" fontId="0" fillId="15" borderId="2" xfId="0" applyFill="1" applyBorder="1">
      <alignment vertical="center"/>
    </xf>
    <xf numFmtId="0" fontId="111" fillId="15" borderId="0" xfId="0" applyFont="1" applyFill="1">
      <alignment vertical="center"/>
    </xf>
    <xf numFmtId="0" fontId="0" fillId="15" borderId="225" xfId="0" applyFill="1" applyBorder="1">
      <alignment vertical="center"/>
    </xf>
    <xf numFmtId="0" fontId="96" fillId="15" borderId="1" xfId="0" applyFont="1" applyFill="1" applyBorder="1">
      <alignment vertical="center"/>
    </xf>
    <xf numFmtId="0" fontId="221" fillId="29" borderId="0" xfId="0" applyFont="1" applyFill="1">
      <alignment vertical="center"/>
    </xf>
    <xf numFmtId="0" fontId="222" fillId="29" borderId="0" xfId="0" applyFont="1" applyFill="1">
      <alignment vertical="center"/>
    </xf>
    <xf numFmtId="0" fontId="96" fillId="15" borderId="2" xfId="0" applyFont="1" applyFill="1" applyBorder="1">
      <alignment vertical="center"/>
    </xf>
    <xf numFmtId="0" fontId="223" fillId="15" borderId="0" xfId="0" quotePrefix="1" applyFont="1" applyFill="1">
      <alignment vertical="center"/>
    </xf>
    <xf numFmtId="0" fontId="96" fillId="15" borderId="0" xfId="0" applyFont="1" applyFill="1">
      <alignment vertical="center"/>
    </xf>
    <xf numFmtId="0" fontId="224" fillId="15" borderId="0" xfId="0" applyFont="1" applyFill="1">
      <alignment vertical="center"/>
    </xf>
    <xf numFmtId="0" fontId="225" fillId="15" borderId="0" xfId="0" applyFont="1" applyFill="1">
      <alignment vertical="center"/>
    </xf>
    <xf numFmtId="0" fontId="226" fillId="15" borderId="0" xfId="0" applyFont="1" applyFill="1">
      <alignment vertical="center"/>
    </xf>
    <xf numFmtId="0" fontId="227" fillId="15" borderId="0" xfId="0" applyFont="1" applyFill="1">
      <alignment vertical="center"/>
    </xf>
    <xf numFmtId="0" fontId="228" fillId="29" borderId="0" xfId="0" quotePrefix="1" applyFont="1" applyFill="1">
      <alignment vertical="center"/>
    </xf>
    <xf numFmtId="0" fontId="217" fillId="15" borderId="0" xfId="0" applyFont="1" applyFill="1">
      <alignment vertical="center"/>
    </xf>
    <xf numFmtId="0" fontId="219" fillId="15" borderId="0" xfId="0" applyFont="1" applyFill="1">
      <alignment vertical="center"/>
    </xf>
    <xf numFmtId="0" fontId="53" fillId="15" borderId="0" xfId="0" applyFont="1" applyFill="1">
      <alignment vertical="center"/>
    </xf>
    <xf numFmtId="0" fontId="96" fillId="15" borderId="3" xfId="0" applyFont="1" applyFill="1" applyBorder="1">
      <alignment vertical="center"/>
    </xf>
    <xf numFmtId="0" fontId="96" fillId="15" borderId="4" xfId="0" applyFont="1" applyFill="1" applyBorder="1">
      <alignment vertical="center"/>
    </xf>
    <xf numFmtId="0" fontId="96" fillId="15" borderId="5" xfId="0" applyFont="1" applyFill="1" applyBorder="1">
      <alignment vertical="center"/>
    </xf>
    <xf numFmtId="0" fontId="96" fillId="0" borderId="168" xfId="0" applyFont="1" applyBorder="1">
      <alignment vertical="center"/>
    </xf>
    <xf numFmtId="0" fontId="96" fillId="0" borderId="130" xfId="0" applyFont="1" applyBorder="1">
      <alignment vertical="center"/>
    </xf>
    <xf numFmtId="0" fontId="96" fillId="15" borderId="130" xfId="0" applyFont="1" applyFill="1" applyBorder="1">
      <alignment vertical="center"/>
    </xf>
    <xf numFmtId="0" fontId="96" fillId="15" borderId="106" xfId="0" applyFont="1" applyFill="1" applyBorder="1">
      <alignment vertical="center"/>
    </xf>
    <xf numFmtId="0" fontId="96" fillId="0" borderId="227" xfId="0" applyFont="1" applyBorder="1">
      <alignment vertical="center"/>
    </xf>
    <xf numFmtId="0" fontId="96" fillId="15" borderId="50" xfId="0" applyFont="1" applyFill="1" applyBorder="1">
      <alignment vertical="center"/>
    </xf>
    <xf numFmtId="0" fontId="96" fillId="0" borderId="228" xfId="0" applyFont="1" applyBorder="1">
      <alignment vertical="center"/>
    </xf>
    <xf numFmtId="0" fontId="96" fillId="0" borderId="53" xfId="0" applyFont="1" applyBorder="1">
      <alignment vertical="center"/>
    </xf>
    <xf numFmtId="0" fontId="96" fillId="15" borderId="53" xfId="0" applyFont="1" applyFill="1" applyBorder="1">
      <alignment vertical="center"/>
    </xf>
    <xf numFmtId="0" fontId="96" fillId="15" borderId="70" xfId="0" applyFont="1" applyFill="1" applyBorder="1">
      <alignment vertical="center"/>
    </xf>
    <xf numFmtId="0" fontId="25" fillId="0" borderId="15" xfId="0" applyFont="1" applyBorder="1" applyAlignment="1" applyProtection="1">
      <alignment horizontal="center" vertical="center"/>
      <protection locked="0"/>
    </xf>
    <xf numFmtId="176" fontId="25" fillId="0" borderId="15" xfId="0" applyNumberFormat="1" applyFont="1" applyBorder="1" applyAlignment="1" applyProtection="1">
      <alignment horizontal="center" vertical="center"/>
      <protection locked="0"/>
    </xf>
    <xf numFmtId="0" fontId="25" fillId="7" borderId="15" xfId="0" applyFont="1" applyFill="1" applyBorder="1" applyAlignment="1" applyProtection="1">
      <alignment horizontal="center" vertical="center"/>
      <protection locked="0"/>
    </xf>
    <xf numFmtId="0" fontId="22" fillId="7" borderId="47" xfId="0" applyFont="1" applyFill="1" applyBorder="1" applyAlignment="1">
      <alignment horizontal="center" vertical="center"/>
    </xf>
    <xf numFmtId="0" fontId="123" fillId="7" borderId="16" xfId="0" applyFont="1" applyFill="1" applyBorder="1" applyAlignment="1" applyProtection="1">
      <alignment horizontal="right" vertical="center"/>
      <protection locked="0"/>
    </xf>
    <xf numFmtId="176" fontId="123" fillId="7" borderId="17" xfId="0" applyNumberFormat="1" applyFont="1" applyFill="1" applyBorder="1" applyAlignment="1" applyProtection="1">
      <alignment horizontal="right" vertical="center"/>
      <protection locked="0"/>
    </xf>
    <xf numFmtId="176" fontId="123" fillId="0" borderId="133" xfId="1" applyFont="1" applyFill="1" applyBorder="1" applyAlignment="1" applyProtection="1">
      <alignment horizontal="right" vertical="center"/>
      <protection locked="0"/>
    </xf>
    <xf numFmtId="0" fontId="123" fillId="0" borderId="3" xfId="0" applyFont="1" applyBorder="1" applyAlignment="1" applyProtection="1">
      <alignment horizontal="right" vertical="center"/>
      <protection locked="0"/>
    </xf>
    <xf numFmtId="176" fontId="123" fillId="0" borderId="5" xfId="1" applyFont="1" applyFill="1" applyBorder="1" applyAlignment="1" applyProtection="1">
      <alignment horizontal="right" vertical="center"/>
      <protection locked="0"/>
    </xf>
    <xf numFmtId="176" fontId="123" fillId="0" borderId="7" xfId="1" applyFont="1" applyFill="1" applyBorder="1" applyAlignment="1" applyProtection="1">
      <alignment horizontal="right" vertical="center"/>
      <protection locked="0"/>
    </xf>
    <xf numFmtId="0" fontId="172" fillId="0" borderId="15" xfId="0" applyFont="1" applyBorder="1" applyAlignment="1" applyProtection="1">
      <alignment horizontal="center" vertical="center"/>
      <protection locked="0"/>
    </xf>
    <xf numFmtId="0" fontId="172" fillId="7" borderId="15" xfId="0" applyFont="1" applyFill="1" applyBorder="1" applyAlignment="1" applyProtection="1">
      <alignment horizontal="center" vertical="center"/>
      <protection locked="0"/>
    </xf>
    <xf numFmtId="0" fontId="42" fillId="7" borderId="15" xfId="0" applyFont="1" applyFill="1" applyBorder="1" applyAlignment="1" applyProtection="1">
      <alignment horizontal="center" vertical="center"/>
      <protection locked="0"/>
    </xf>
    <xf numFmtId="176" fontId="42" fillId="7" borderId="15" xfId="1" applyFont="1" applyFill="1" applyBorder="1" applyAlignment="1" applyProtection="1">
      <alignment horizontal="center" vertical="center"/>
      <protection locked="0"/>
    </xf>
    <xf numFmtId="0" fontId="141" fillId="20" borderId="111" xfId="0" applyFont="1" applyFill="1" applyBorder="1" applyAlignment="1" applyProtection="1">
      <alignment horizontal="center" vertical="center"/>
      <protection locked="0"/>
    </xf>
    <xf numFmtId="176" fontId="141" fillId="20" borderId="112" xfId="0" applyNumberFormat="1" applyFont="1" applyFill="1" applyBorder="1" applyAlignment="1" applyProtection="1">
      <alignment horizontal="center" vertical="center"/>
      <protection locked="0"/>
    </xf>
    <xf numFmtId="0" fontId="151" fillId="20" borderId="112" xfId="0" applyFont="1" applyFill="1" applyBorder="1" applyAlignment="1" applyProtection="1">
      <alignment horizontal="center" vertical="center"/>
      <protection locked="0"/>
    </xf>
    <xf numFmtId="0" fontId="123" fillId="6" borderId="20" xfId="0" applyFont="1" applyFill="1" applyBorder="1" applyAlignment="1" applyProtection="1">
      <alignment horizontal="right" vertical="center"/>
      <protection locked="0"/>
    </xf>
    <xf numFmtId="0" fontId="123" fillId="6" borderId="51" xfId="0" applyFont="1" applyFill="1" applyBorder="1" applyAlignment="1" applyProtection="1">
      <alignment horizontal="right" vertical="center"/>
      <protection locked="0"/>
    </xf>
    <xf numFmtId="0" fontId="123" fillId="6" borderId="16" xfId="0" applyFont="1" applyFill="1" applyBorder="1" applyAlignment="1" applyProtection="1">
      <alignment horizontal="right" vertical="center"/>
      <protection locked="0"/>
    </xf>
    <xf numFmtId="0" fontId="141" fillId="7" borderId="15" xfId="0" applyFont="1" applyFill="1" applyBorder="1" applyAlignment="1" applyProtection="1">
      <alignment horizontal="left" vertical="center"/>
      <protection locked="0"/>
    </xf>
    <xf numFmtId="0" fontId="141" fillId="7" borderId="51" xfId="0" applyFont="1" applyFill="1" applyBorder="1" applyAlignment="1" applyProtection="1">
      <alignment horizontal="left" vertical="center"/>
      <protection locked="0"/>
    </xf>
    <xf numFmtId="185" fontId="123" fillId="0" borderId="15" xfId="0" applyNumberFormat="1" applyFont="1" applyBorder="1" applyAlignment="1" applyProtection="1">
      <alignment horizontal="left" vertical="center"/>
      <protection locked="0"/>
    </xf>
    <xf numFmtId="0" fontId="118" fillId="0" borderId="113" xfId="0" applyFont="1" applyBorder="1" applyAlignment="1" applyProtection="1">
      <alignment horizontal="center" vertical="center"/>
      <protection locked="0"/>
    </xf>
    <xf numFmtId="0" fontId="118" fillId="0" borderId="0" xfId="0" applyFont="1" applyProtection="1">
      <alignment vertical="center"/>
      <protection locked="0"/>
    </xf>
    <xf numFmtId="0" fontId="118" fillId="0" borderId="0" xfId="0" applyFont="1" applyAlignment="1" applyProtection="1">
      <alignment horizontal="left" vertical="center"/>
      <protection locked="0"/>
    </xf>
    <xf numFmtId="184" fontId="32" fillId="7" borderId="25" xfId="1" applyNumberFormat="1" applyFont="1" applyFill="1" applyBorder="1" applyAlignment="1" applyProtection="1">
      <alignment horizontal="left" vertical="center"/>
      <protection locked="0"/>
    </xf>
    <xf numFmtId="184" fontId="32" fillId="7" borderId="79" xfId="1" applyNumberFormat="1" applyFont="1" applyFill="1" applyBorder="1" applyAlignment="1" applyProtection="1">
      <alignment horizontal="left" vertical="center"/>
      <protection locked="0"/>
    </xf>
    <xf numFmtId="176" fontId="32" fillId="7" borderId="25" xfId="1" applyFont="1" applyFill="1" applyBorder="1" applyAlignment="1" applyProtection="1">
      <alignment horizontal="center" vertical="center"/>
      <protection locked="0"/>
    </xf>
    <xf numFmtId="0" fontId="53" fillId="7" borderId="59" xfId="0" applyFont="1" applyFill="1" applyBorder="1" applyAlignment="1" applyProtection="1">
      <alignment horizontal="left" vertical="center"/>
      <protection locked="0"/>
    </xf>
    <xf numFmtId="176" fontId="32" fillId="7" borderId="160" xfId="1" applyFont="1" applyFill="1" applyBorder="1" applyProtection="1">
      <alignment vertical="center"/>
      <protection locked="0"/>
    </xf>
    <xf numFmtId="0" fontId="32" fillId="7" borderId="51" xfId="0" applyFont="1" applyFill="1" applyBorder="1" applyProtection="1">
      <alignment vertical="center"/>
      <protection locked="0"/>
    </xf>
    <xf numFmtId="0" fontId="53" fillId="7" borderId="161" xfId="0" applyFont="1" applyFill="1" applyBorder="1" applyAlignment="1" applyProtection="1">
      <alignment horizontal="left" vertical="center"/>
      <protection locked="0"/>
    </xf>
    <xf numFmtId="176" fontId="32" fillId="7" borderId="77" xfId="1" applyFont="1" applyFill="1" applyBorder="1" applyProtection="1">
      <alignment vertical="center"/>
      <protection locked="0"/>
    </xf>
    <xf numFmtId="0" fontId="53" fillId="7" borderId="27" xfId="0" applyFont="1" applyFill="1" applyBorder="1" applyAlignment="1" applyProtection="1">
      <alignment horizontal="left" vertical="center"/>
      <protection locked="0"/>
    </xf>
    <xf numFmtId="176" fontId="32" fillId="7" borderId="162" xfId="1" applyFont="1" applyFill="1" applyBorder="1" applyProtection="1">
      <alignment vertical="center"/>
      <protection locked="0"/>
    </xf>
    <xf numFmtId="181" fontId="22" fillId="7" borderId="114" xfId="3" applyNumberFormat="1" applyFont="1" applyFill="1" applyBorder="1" applyAlignment="1" applyProtection="1">
      <alignment horizontal="right" vertical="center"/>
      <protection locked="0"/>
    </xf>
    <xf numFmtId="0" fontId="22" fillId="7" borderId="23" xfId="0" applyFont="1" applyFill="1" applyBorder="1" applyAlignment="1" applyProtection="1">
      <alignment horizontal="right" vertical="center"/>
      <protection locked="0"/>
    </xf>
    <xf numFmtId="0" fontId="22" fillId="7" borderId="47" xfId="0" applyFont="1" applyFill="1" applyBorder="1" applyAlignment="1" applyProtection="1">
      <alignment horizontal="right" vertical="center"/>
      <protection locked="0"/>
    </xf>
    <xf numFmtId="184" fontId="32" fillId="6" borderId="10" xfId="0" applyNumberFormat="1" applyFont="1" applyFill="1" applyBorder="1" applyAlignment="1" applyProtection="1">
      <alignment horizontal="center" vertical="center"/>
      <protection locked="0"/>
    </xf>
    <xf numFmtId="0" fontId="32" fillId="6" borderId="20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 applyProtection="1">
      <alignment horizontal="center" vertical="center"/>
      <protection locked="0"/>
    </xf>
    <xf numFmtId="49" fontId="32" fillId="0" borderId="20" xfId="1" applyNumberFormat="1" applyFont="1" applyFill="1" applyBorder="1" applyAlignment="1" applyProtection="1">
      <alignment horizontal="center" vertical="center"/>
      <protection locked="0"/>
    </xf>
    <xf numFmtId="0" fontId="32" fillId="6" borderId="20" xfId="0" applyFont="1" applyFill="1" applyBorder="1" applyAlignment="1" applyProtection="1">
      <alignment horizontal="center" vertical="center" wrapText="1"/>
      <protection locked="0"/>
    </xf>
    <xf numFmtId="176" fontId="32" fillId="6" borderId="21" xfId="1" applyFont="1" applyFill="1" applyBorder="1" applyAlignment="1" applyProtection="1">
      <alignment horizontal="center" vertical="center"/>
      <protection locked="0"/>
    </xf>
    <xf numFmtId="176" fontId="32" fillId="6" borderId="21" xfId="0" applyNumberFormat="1" applyFont="1" applyFill="1" applyBorder="1" applyAlignment="1" applyProtection="1">
      <alignment horizontal="center" vertical="center"/>
      <protection locked="0"/>
    </xf>
    <xf numFmtId="0" fontId="32" fillId="6" borderId="3" xfId="0" applyFont="1" applyFill="1" applyBorder="1" applyAlignment="1" applyProtection="1">
      <alignment horizontal="center" vertical="center"/>
      <protection locked="0"/>
    </xf>
    <xf numFmtId="181" fontId="32" fillId="6" borderId="5" xfId="3" applyNumberFormat="1" applyFont="1" applyFill="1" applyBorder="1" applyAlignment="1" applyProtection="1">
      <alignment horizontal="center" vertical="center"/>
      <protection locked="0"/>
    </xf>
    <xf numFmtId="0" fontId="32" fillId="7" borderId="20" xfId="0" applyFont="1" applyFill="1" applyBorder="1" applyAlignment="1" applyProtection="1">
      <alignment horizontal="center" vertical="center"/>
      <protection locked="0"/>
    </xf>
    <xf numFmtId="0" fontId="32" fillId="7" borderId="21" xfId="0" applyFont="1" applyFill="1" applyBorder="1" applyAlignment="1" applyProtection="1">
      <alignment horizontal="center" vertical="center"/>
      <protection locked="0"/>
    </xf>
    <xf numFmtId="49" fontId="32" fillId="0" borderId="20" xfId="0" applyNumberFormat="1" applyFont="1" applyBorder="1" applyAlignment="1" applyProtection="1">
      <alignment horizontal="center" vertical="center"/>
      <protection locked="0"/>
    </xf>
    <xf numFmtId="0" fontId="32" fillId="7" borderId="20" xfId="0" applyFont="1" applyFill="1" applyBorder="1" applyAlignment="1" applyProtection="1">
      <alignment horizontal="center" vertical="center" wrapText="1"/>
      <protection locked="0"/>
    </xf>
    <xf numFmtId="176" fontId="32" fillId="7" borderId="21" xfId="1" applyFont="1" applyFill="1" applyBorder="1" applyAlignment="1" applyProtection="1">
      <alignment horizontal="center" vertical="center"/>
      <protection locked="0"/>
    </xf>
    <xf numFmtId="176" fontId="32" fillId="7" borderId="21" xfId="0" applyNumberFormat="1" applyFont="1" applyFill="1" applyBorder="1" applyAlignment="1" applyProtection="1">
      <alignment horizontal="center" vertical="center"/>
      <protection locked="0"/>
    </xf>
    <xf numFmtId="0" fontId="32" fillId="7" borderId="3" xfId="0" applyFont="1" applyFill="1" applyBorder="1" applyAlignment="1" applyProtection="1">
      <alignment horizontal="center" vertical="center"/>
      <protection locked="0"/>
    </xf>
    <xf numFmtId="9" fontId="32" fillId="7" borderId="5" xfId="3" applyFont="1" applyFill="1" applyBorder="1" applyAlignment="1" applyProtection="1">
      <alignment horizontal="center" vertical="center"/>
      <protection locked="0"/>
    </xf>
    <xf numFmtId="0" fontId="32" fillId="9" borderId="26" xfId="0" applyFont="1" applyFill="1" applyBorder="1" applyAlignment="1" applyProtection="1">
      <alignment horizontal="center" vertical="center"/>
      <protection locked="0"/>
    </xf>
    <xf numFmtId="0" fontId="32" fillId="9" borderId="152" xfId="0" applyFont="1" applyFill="1" applyBorder="1" applyAlignment="1" applyProtection="1">
      <alignment horizontal="center" vertical="center"/>
      <protection locked="0"/>
    </xf>
    <xf numFmtId="0" fontId="32" fillId="4" borderId="20" xfId="0" applyFont="1" applyFill="1" applyBorder="1" applyAlignment="1" applyProtection="1">
      <alignment horizontal="center" vertical="center" wrapText="1"/>
      <protection locked="0"/>
    </xf>
    <xf numFmtId="176" fontId="32" fillId="4" borderId="21" xfId="1" applyFont="1" applyFill="1" applyBorder="1" applyAlignment="1" applyProtection="1">
      <alignment horizontal="center" vertical="center"/>
      <protection locked="0"/>
    </xf>
    <xf numFmtId="0" fontId="32" fillId="4" borderId="20" xfId="0" applyFont="1" applyFill="1" applyBorder="1" applyAlignment="1" applyProtection="1">
      <alignment horizontal="center" vertical="center"/>
      <protection locked="0"/>
    </xf>
    <xf numFmtId="176" fontId="32" fillId="4" borderId="21" xfId="0" applyNumberFormat="1" applyFont="1" applyFill="1" applyBorder="1" applyAlignment="1" applyProtection="1">
      <alignment horizontal="center" vertical="center"/>
      <protection locked="0"/>
    </xf>
    <xf numFmtId="0" fontId="32" fillId="4" borderId="3" xfId="0" applyFont="1" applyFill="1" applyBorder="1" applyAlignment="1" applyProtection="1">
      <alignment horizontal="center" vertical="center"/>
      <protection locked="0"/>
    </xf>
    <xf numFmtId="9" fontId="32" fillId="4" borderId="5" xfId="3" applyFont="1" applyFill="1" applyBorder="1" applyAlignment="1" applyProtection="1">
      <alignment horizontal="center" vertical="center"/>
      <protection locked="0"/>
    </xf>
    <xf numFmtId="0" fontId="32" fillId="25" borderId="20" xfId="0" applyFont="1" applyFill="1" applyBorder="1" applyAlignment="1" applyProtection="1">
      <alignment horizontal="center" vertical="center"/>
      <protection locked="0"/>
    </xf>
    <xf numFmtId="176" fontId="32" fillId="25" borderId="21" xfId="0" applyNumberFormat="1" applyFont="1" applyFill="1" applyBorder="1" applyAlignment="1" applyProtection="1">
      <alignment horizontal="center" vertical="center"/>
      <protection locked="0"/>
    </xf>
    <xf numFmtId="181" fontId="32" fillId="4" borderId="21" xfId="3" applyNumberFormat="1" applyFont="1" applyFill="1" applyBorder="1" applyAlignment="1" applyProtection="1">
      <alignment horizontal="center" vertical="center"/>
      <protection locked="0"/>
    </xf>
    <xf numFmtId="0" fontId="116" fillId="0" borderId="113" xfId="0" applyFont="1" applyBorder="1" applyAlignment="1" applyProtection="1">
      <alignment horizontal="right" vertical="center"/>
      <protection locked="0"/>
    </xf>
    <xf numFmtId="0" fontId="99" fillId="7" borderId="113" xfId="0" applyFont="1" applyFill="1" applyBorder="1" applyAlignment="1" applyProtection="1">
      <alignment horizontal="right" vertical="center"/>
      <protection locked="0"/>
    </xf>
    <xf numFmtId="0" fontId="123" fillId="6" borderId="21" xfId="0" applyFont="1" applyFill="1" applyBorder="1" applyAlignment="1" applyProtection="1">
      <alignment horizontal="right" vertical="center"/>
      <protection locked="0"/>
    </xf>
    <xf numFmtId="0" fontId="123" fillId="6" borderId="34" xfId="0" applyFont="1" applyFill="1" applyBorder="1" applyAlignment="1" applyProtection="1">
      <alignment horizontal="right" vertical="center"/>
      <protection locked="0"/>
    </xf>
    <xf numFmtId="0" fontId="123" fillId="6" borderId="67" xfId="0" applyFont="1" applyFill="1" applyBorder="1" applyAlignment="1" applyProtection="1">
      <alignment horizontal="right" vertical="center"/>
      <protection locked="0"/>
    </xf>
    <xf numFmtId="0" fontId="123" fillId="6" borderId="76" xfId="0" applyFont="1" applyFill="1" applyBorder="1" applyAlignment="1" applyProtection="1">
      <alignment horizontal="right" vertical="center"/>
      <protection locked="0"/>
    </xf>
    <xf numFmtId="176" fontId="123" fillId="0" borderId="68" xfId="1" applyFont="1" applyFill="1" applyBorder="1" applyAlignment="1" applyProtection="1">
      <alignment horizontal="right" vertical="center"/>
      <protection locked="0"/>
    </xf>
    <xf numFmtId="0" fontId="99" fillId="7" borderId="114" xfId="0" applyFont="1" applyFill="1" applyBorder="1" applyAlignment="1" applyProtection="1">
      <alignment horizontal="left" vertical="center"/>
      <protection locked="0"/>
    </xf>
    <xf numFmtId="0" fontId="99" fillId="0" borderId="19" xfId="0" applyFont="1" applyBorder="1" applyAlignment="1" applyProtection="1">
      <alignment horizontal="left" vertical="center"/>
      <protection locked="0"/>
    </xf>
    <xf numFmtId="0" fontId="99" fillId="0" borderId="97" xfId="0" applyFont="1" applyBorder="1" applyAlignment="1" applyProtection="1">
      <alignment horizontal="left" vertical="center"/>
      <protection locked="0"/>
    </xf>
    <xf numFmtId="0" fontId="234" fillId="0" borderId="15" xfId="40" applyFont="1" applyBorder="1" applyAlignment="1">
      <alignment horizontal="left" vertical="center"/>
    </xf>
    <xf numFmtId="0" fontId="234" fillId="0" borderId="20" xfId="40" applyFont="1" applyBorder="1">
      <alignment vertical="center"/>
    </xf>
    <xf numFmtId="0" fontId="25" fillId="0" borderId="47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>
      <alignment horizontal="center" vertical="center"/>
    </xf>
    <xf numFmtId="176" fontId="18" fillId="0" borderId="15" xfId="1" applyFont="1" applyFill="1" applyBorder="1" applyAlignment="1" applyProtection="1">
      <alignment horizontal="right" vertical="center"/>
      <protection locked="0"/>
    </xf>
    <xf numFmtId="176" fontId="28" fillId="5" borderId="15" xfId="1" applyFont="1" applyFill="1" applyBorder="1" applyAlignment="1" applyProtection="1">
      <alignment horizontal="right" vertical="center"/>
      <protection locked="0"/>
    </xf>
    <xf numFmtId="0" fontId="22" fillId="0" borderId="229" xfId="0" applyFont="1" applyBorder="1" applyAlignment="1" applyProtection="1">
      <alignment horizontal="right" vertical="center"/>
      <protection locked="0"/>
    </xf>
    <xf numFmtId="0" fontId="33" fillId="5" borderId="15" xfId="0" applyFont="1" applyFill="1" applyBorder="1" applyAlignment="1" applyProtection="1">
      <alignment horizontal="right" vertical="center"/>
      <protection locked="0"/>
    </xf>
    <xf numFmtId="0" fontId="32" fillId="7" borderId="15" xfId="0" applyFont="1" applyFill="1" applyBorder="1" applyAlignment="1" applyProtection="1">
      <alignment horizontal="left" vertical="center"/>
      <protection locked="0"/>
    </xf>
    <xf numFmtId="0" fontId="22" fillId="7" borderId="15" xfId="0" applyFont="1" applyFill="1" applyBorder="1" applyAlignment="1" applyProtection="1">
      <alignment horizontal="center" vertical="center"/>
      <protection locked="0"/>
    </xf>
    <xf numFmtId="0" fontId="53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100" fillId="15" borderId="0" xfId="0" applyFont="1" applyFill="1">
      <alignment vertical="center"/>
    </xf>
    <xf numFmtId="0" fontId="99" fillId="13" borderId="0" xfId="0" applyFont="1" applyFill="1">
      <alignment vertical="center"/>
    </xf>
    <xf numFmtId="176" fontId="115" fillId="12" borderId="15" xfId="0" applyNumberFormat="1" applyFont="1" applyFill="1" applyBorder="1" applyAlignment="1" applyProtection="1">
      <alignment horizontal="center" vertical="center"/>
      <protection locked="0"/>
    </xf>
    <xf numFmtId="0" fontId="93" fillId="0" borderId="20" xfId="40" applyFont="1" applyBorder="1" applyAlignment="1">
      <alignment vertical="center" wrapText="1"/>
    </xf>
    <xf numFmtId="0" fontId="241" fillId="15" borderId="0" xfId="0" applyFont="1" applyFill="1">
      <alignment vertical="center"/>
    </xf>
    <xf numFmtId="0" fontId="42" fillId="0" borderId="15" xfId="0" applyFont="1" applyBorder="1" applyAlignment="1" applyProtection="1">
      <alignment horizontal="center" vertical="center"/>
      <protection locked="0"/>
    </xf>
    <xf numFmtId="0" fontId="53" fillId="20" borderId="0" xfId="0" applyFont="1" applyFill="1">
      <alignment vertical="center"/>
    </xf>
    <xf numFmtId="0" fontId="96" fillId="20" borderId="0" xfId="0" applyFont="1" applyFill="1">
      <alignment vertical="center"/>
    </xf>
    <xf numFmtId="0" fontId="0" fillId="15" borderId="230" xfId="0" applyFill="1" applyBorder="1">
      <alignment vertical="center"/>
    </xf>
    <xf numFmtId="0" fontId="0" fillId="0" borderId="130" xfId="0" applyBorder="1">
      <alignment vertical="center"/>
    </xf>
    <xf numFmtId="0" fontId="0" fillId="0" borderId="226" xfId="0" applyBorder="1">
      <alignment vertical="center"/>
    </xf>
    <xf numFmtId="0" fontId="224" fillId="15" borderId="4" xfId="0" applyFont="1" applyFill="1" applyBorder="1">
      <alignment vertical="center"/>
    </xf>
    <xf numFmtId="0" fontId="96" fillId="0" borderId="4" xfId="0" applyFont="1" applyBorder="1">
      <alignment vertical="center"/>
    </xf>
    <xf numFmtId="0" fontId="22" fillId="0" borderId="9" xfId="0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49" fontId="25" fillId="0" borderId="0" xfId="0" applyNumberFormat="1" applyFont="1">
      <alignment vertical="center"/>
    </xf>
    <xf numFmtId="0" fontId="68" fillId="0" borderId="46" xfId="0" applyFont="1" applyBorder="1" applyAlignment="1">
      <alignment horizontal="center" vertical="center"/>
    </xf>
    <xf numFmtId="198" fontId="25" fillId="0" borderId="0" xfId="0" applyNumberFormat="1" applyFont="1" applyAlignment="1">
      <alignment horizontal="center" vertical="center"/>
    </xf>
    <xf numFmtId="176" fontId="18" fillId="0" borderId="0" xfId="1" applyFont="1" applyFill="1" applyBorder="1" applyAlignment="1">
      <alignment horizontal="center" vertical="center"/>
    </xf>
    <xf numFmtId="0" fontId="22" fillId="0" borderId="0" xfId="3" applyNumberFormat="1" applyFont="1" applyFill="1" applyAlignment="1" applyProtection="1">
      <alignment horizontal="center" vertical="center"/>
      <protection locked="0"/>
    </xf>
    <xf numFmtId="0" fontId="29" fillId="6" borderId="51" xfId="0" applyFont="1" applyFill="1" applyBorder="1" applyAlignment="1">
      <alignment horizontal="center" vertical="center"/>
    </xf>
    <xf numFmtId="0" fontId="158" fillId="12" borderId="51" xfId="0" applyFont="1" applyFill="1" applyBorder="1" applyAlignment="1">
      <alignment horizontal="left" vertical="center"/>
    </xf>
    <xf numFmtId="0" fontId="114" fillId="13" borderId="0" xfId="0" applyFont="1" applyFill="1" applyAlignment="1" applyProtection="1">
      <alignment horizontal="center" vertical="center"/>
      <protection hidden="1"/>
    </xf>
    <xf numFmtId="0" fontId="99" fillId="13" borderId="0" xfId="0" applyFont="1" applyFill="1" applyAlignment="1" applyProtection="1">
      <alignment horizontal="center" vertical="center"/>
      <protection locked="0"/>
    </xf>
    <xf numFmtId="0" fontId="114" fillId="0" borderId="0" xfId="0" applyFont="1" applyAlignment="1" applyProtection="1">
      <alignment horizontal="center" vertical="center"/>
      <protection hidden="1"/>
    </xf>
    <xf numFmtId="0" fontId="99" fillId="0" borderId="0" xfId="0" applyFont="1" applyAlignment="1" applyProtection="1">
      <alignment horizontal="center" vertical="center"/>
      <protection locked="0"/>
    </xf>
    <xf numFmtId="0" fontId="103" fillId="0" borderId="0" xfId="0" applyFont="1" applyAlignment="1" applyProtection="1">
      <alignment horizontal="center" vertical="center"/>
      <protection hidden="1"/>
    </xf>
    <xf numFmtId="0" fontId="144" fillId="12" borderId="51" xfId="0" applyFont="1" applyFill="1" applyBorder="1" applyAlignment="1">
      <alignment horizontal="center" vertical="center"/>
    </xf>
    <xf numFmtId="181" fontId="144" fillId="12" borderId="51" xfId="3" applyNumberFormat="1" applyFont="1" applyFill="1" applyBorder="1" applyAlignment="1" applyProtection="1">
      <alignment horizontal="center" vertical="center"/>
    </xf>
    <xf numFmtId="10" fontId="144" fillId="12" borderId="51" xfId="0" applyNumberFormat="1" applyFont="1" applyFill="1" applyBorder="1" applyAlignment="1">
      <alignment horizontal="center" vertical="center"/>
    </xf>
    <xf numFmtId="0" fontId="122" fillId="20" borderId="231" xfId="0" applyFont="1" applyFill="1" applyBorder="1" applyAlignment="1">
      <alignment horizontal="center" vertical="center" wrapText="1"/>
    </xf>
    <xf numFmtId="22" fontId="127" fillId="28" borderId="47" xfId="0" applyNumberFormat="1" applyFont="1" applyFill="1" applyBorder="1" applyAlignment="1">
      <alignment vertical="center" shrinkToFit="1"/>
    </xf>
    <xf numFmtId="22" fontId="127" fillId="28" borderId="47" xfId="0" applyNumberFormat="1" applyFont="1" applyFill="1" applyBorder="1" applyAlignment="1">
      <alignment horizontal="center" vertical="center" shrinkToFit="1"/>
    </xf>
    <xf numFmtId="49" fontId="129" fillId="0" borderId="168" xfId="0" applyNumberFormat="1" applyFont="1" applyBorder="1" applyAlignment="1" applyProtection="1">
      <alignment horizontal="center" vertical="center" shrinkToFit="1"/>
      <protection locked="0"/>
    </xf>
    <xf numFmtId="0" fontId="129" fillId="20" borderId="24" xfId="0" applyFont="1" applyFill="1" applyBorder="1">
      <alignment vertical="center"/>
    </xf>
    <xf numFmtId="0" fontId="216" fillId="25" borderId="12" xfId="0" applyFont="1" applyFill="1" applyBorder="1">
      <alignment vertical="center"/>
    </xf>
    <xf numFmtId="0" fontId="129" fillId="15" borderId="47" xfId="0" applyFont="1" applyFill="1" applyBorder="1" applyAlignment="1" applyProtection="1">
      <alignment horizontal="center" vertical="center"/>
      <protection locked="0"/>
    </xf>
    <xf numFmtId="0" fontId="129" fillId="15" borderId="68" xfId="0" applyFont="1" applyFill="1" applyBorder="1" applyAlignment="1" applyProtection="1">
      <alignment horizontal="center" vertical="center"/>
      <protection locked="0"/>
    </xf>
    <xf numFmtId="176" fontId="130" fillId="20" borderId="232" xfId="1" applyFont="1" applyFill="1" applyBorder="1" applyAlignment="1" applyProtection="1">
      <alignment horizontal="center" vertical="center"/>
    </xf>
    <xf numFmtId="0" fontId="144" fillId="12" borderId="70" xfId="0" applyFont="1" applyFill="1" applyBorder="1" applyAlignment="1">
      <alignment horizontal="center" vertical="center"/>
    </xf>
    <xf numFmtId="0" fontId="144" fillId="12" borderId="22" xfId="0" applyFont="1" applyFill="1" applyBorder="1" applyAlignment="1">
      <alignment horizontal="center" vertical="center"/>
    </xf>
    <xf numFmtId="176" fontId="129" fillId="15" borderId="22" xfId="1" applyFont="1" applyFill="1" applyBorder="1" applyAlignment="1" applyProtection="1">
      <alignment vertical="center" shrinkToFit="1"/>
      <protection locked="0"/>
    </xf>
    <xf numFmtId="0" fontId="135" fillId="13" borderId="8" xfId="0" applyFont="1" applyFill="1" applyBorder="1" applyProtection="1">
      <alignment vertical="center"/>
      <protection locked="0"/>
    </xf>
    <xf numFmtId="0" fontId="72" fillId="15" borderId="0" xfId="0" applyFont="1" applyFill="1" applyProtection="1">
      <alignment vertical="center"/>
      <protection hidden="1"/>
    </xf>
    <xf numFmtId="0" fontId="215" fillId="15" borderId="53" xfId="0" applyFont="1" applyFill="1" applyBorder="1" applyProtection="1">
      <alignment vertical="center"/>
      <protection hidden="1"/>
    </xf>
    <xf numFmtId="0" fontId="144" fillId="12" borderId="106" xfId="0" applyFont="1" applyFill="1" applyBorder="1" applyAlignment="1">
      <alignment horizontal="center" vertical="center" shrinkToFit="1"/>
    </xf>
    <xf numFmtId="0" fontId="144" fillId="12" borderId="47" xfId="0" applyFont="1" applyFill="1" applyBorder="1" applyAlignment="1">
      <alignment horizontal="center" vertical="center"/>
    </xf>
    <xf numFmtId="176" fontId="129" fillId="12" borderId="47" xfId="1" applyFont="1" applyFill="1" applyBorder="1" applyAlignment="1" applyProtection="1">
      <alignment vertical="center"/>
      <protection locked="0"/>
    </xf>
    <xf numFmtId="181" fontId="129" fillId="12" borderId="22" xfId="3" applyNumberFormat="1" applyFont="1" applyFill="1" applyBorder="1" applyAlignment="1" applyProtection="1">
      <alignment vertical="center"/>
    </xf>
    <xf numFmtId="49" fontId="129" fillId="15" borderId="18" xfId="3" applyNumberFormat="1" applyFont="1" applyFill="1" applyBorder="1" applyAlignment="1" applyProtection="1">
      <alignment horizontal="center" vertical="center" shrinkToFit="1"/>
      <protection locked="0"/>
    </xf>
    <xf numFmtId="176" fontId="129" fillId="15" borderId="18" xfId="1" applyFont="1" applyFill="1" applyBorder="1" applyAlignment="1" applyProtection="1">
      <alignment horizontal="center" vertical="center"/>
      <protection locked="0"/>
    </xf>
    <xf numFmtId="181" fontId="41" fillId="0" borderId="0" xfId="3" applyNumberFormat="1" applyFont="1" applyFill="1" applyBorder="1" applyAlignment="1">
      <alignment horizontal="center" vertical="center"/>
    </xf>
    <xf numFmtId="10" fontId="31" fillId="5" borderId="2" xfId="3" applyNumberFormat="1" applyFont="1" applyFill="1" applyBorder="1" applyProtection="1">
      <alignment vertical="center"/>
      <protection locked="0"/>
    </xf>
    <xf numFmtId="0" fontId="245" fillId="0" borderId="0" xfId="0" applyFont="1" applyAlignment="1">
      <alignment horizontal="center" vertical="center"/>
    </xf>
    <xf numFmtId="0" fontId="92" fillId="0" borderId="67" xfId="0" applyFont="1" applyBorder="1" applyAlignment="1">
      <alignment horizontal="center" vertical="center"/>
    </xf>
    <xf numFmtId="0" fontId="93" fillId="0" borderId="47" xfId="0" applyFont="1" applyBorder="1" applyAlignment="1">
      <alignment horizontal="center" vertical="center"/>
    </xf>
    <xf numFmtId="181" fontId="93" fillId="7" borderId="47" xfId="3" applyNumberFormat="1" applyFont="1" applyFill="1" applyBorder="1" applyAlignment="1">
      <alignment horizontal="center" vertical="center"/>
    </xf>
    <xf numFmtId="176" fontId="87" fillId="0" borderId="68" xfId="1" applyFont="1" applyFill="1" applyBorder="1" applyAlignment="1">
      <alignment horizontal="center" vertical="center"/>
    </xf>
    <xf numFmtId="0" fontId="243" fillId="32" borderId="113" xfId="0" applyFont="1" applyFill="1" applyBorder="1" applyAlignment="1" applyProtection="1">
      <alignment horizontal="center" vertical="center"/>
      <protection hidden="1"/>
    </xf>
    <xf numFmtId="0" fontId="243" fillId="32" borderId="19" xfId="0" applyFont="1" applyFill="1" applyBorder="1" applyAlignment="1" applyProtection="1">
      <alignment horizontal="center" vertical="center"/>
      <protection hidden="1"/>
    </xf>
    <xf numFmtId="0" fontId="218" fillId="0" borderId="0" xfId="11" applyFont="1">
      <alignment vertical="center"/>
    </xf>
    <xf numFmtId="0" fontId="218" fillId="0" borderId="0" xfId="0" applyFont="1">
      <alignment vertical="center"/>
    </xf>
    <xf numFmtId="177" fontId="218" fillId="0" borderId="25" xfId="1" applyNumberFormat="1" applyFont="1" applyFill="1" applyBorder="1" applyProtection="1">
      <alignment vertical="center"/>
    </xf>
    <xf numFmtId="0" fontId="247" fillId="0" borderId="0" xfId="11" applyFont="1">
      <alignment vertical="center"/>
    </xf>
    <xf numFmtId="177" fontId="218" fillId="0" borderId="25" xfId="11" applyNumberFormat="1" applyFont="1" applyBorder="1">
      <alignment vertical="center"/>
    </xf>
    <xf numFmtId="0" fontId="247" fillId="5" borderId="0" xfId="11" applyFont="1" applyFill="1">
      <alignment vertical="center"/>
    </xf>
    <xf numFmtId="0" fontId="248" fillId="21" borderId="0" xfId="11" applyFont="1" applyFill="1" applyAlignment="1">
      <alignment horizontal="left" vertical="center"/>
    </xf>
    <xf numFmtId="0" fontId="246" fillId="21" borderId="25" xfId="11" applyFont="1" applyFill="1" applyBorder="1" applyAlignment="1">
      <alignment horizontal="center" vertical="center"/>
    </xf>
    <xf numFmtId="0" fontId="246" fillId="21" borderId="79" xfId="11" applyFont="1" applyFill="1" applyBorder="1" applyAlignment="1">
      <alignment horizontal="center" vertical="center"/>
    </xf>
    <xf numFmtId="0" fontId="218" fillId="0" borderId="25" xfId="11" applyFont="1" applyBorder="1" applyAlignment="1">
      <alignment horizontal="center" vertical="center"/>
    </xf>
    <xf numFmtId="176" fontId="218" fillId="0" borderId="25" xfId="13" applyFont="1" applyFill="1" applyBorder="1" applyProtection="1">
      <alignment vertical="center"/>
    </xf>
    <xf numFmtId="176" fontId="218" fillId="0" borderId="118" xfId="13" applyFont="1" applyFill="1" applyBorder="1" applyProtection="1">
      <alignment vertical="center"/>
    </xf>
    <xf numFmtId="0" fontId="218" fillId="0" borderId="155" xfId="11" applyFont="1" applyBorder="1" applyAlignment="1">
      <alignment horizontal="center" vertical="center"/>
    </xf>
    <xf numFmtId="0" fontId="218" fillId="5" borderId="25" xfId="11" applyFont="1" applyFill="1" applyBorder="1" applyAlignment="1">
      <alignment horizontal="center" vertical="center"/>
    </xf>
    <xf numFmtId="191" fontId="218" fillId="5" borderId="118" xfId="1" applyNumberFormat="1" applyFont="1" applyFill="1" applyBorder="1" applyProtection="1">
      <alignment vertical="center"/>
    </xf>
    <xf numFmtId="9" fontId="218" fillId="0" borderId="25" xfId="3" applyFont="1" applyFill="1" applyBorder="1" applyProtection="1">
      <alignment vertical="center"/>
    </xf>
    <xf numFmtId="9" fontId="218" fillId="0" borderId="79" xfId="3" applyFont="1" applyFill="1" applyBorder="1" applyProtection="1">
      <alignment vertical="center"/>
    </xf>
    <xf numFmtId="0" fontId="218" fillId="5" borderId="54" xfId="11" applyFont="1" applyFill="1" applyBorder="1" applyAlignment="1">
      <alignment horizontal="center" vertical="center"/>
    </xf>
    <xf numFmtId="0" fontId="218" fillId="5" borderId="166" xfId="11" applyFont="1" applyFill="1" applyBorder="1" applyAlignment="1">
      <alignment horizontal="center" vertical="center" wrapText="1"/>
    </xf>
    <xf numFmtId="10" fontId="218" fillId="5" borderId="166" xfId="3" applyNumberFormat="1" applyFont="1" applyFill="1" applyBorder="1" applyProtection="1">
      <alignment vertical="center"/>
    </xf>
    <xf numFmtId="0" fontId="218" fillId="0" borderId="72" xfId="11" applyFont="1" applyBorder="1" applyAlignment="1">
      <alignment horizontal="center" vertical="center" wrapText="1"/>
    </xf>
    <xf numFmtId="176" fontId="218" fillId="0" borderId="72" xfId="1" applyFont="1" applyFill="1" applyBorder="1" applyProtection="1">
      <alignment vertical="center"/>
    </xf>
    <xf numFmtId="0" fontId="247" fillId="17" borderId="25" xfId="11" applyFont="1" applyFill="1" applyBorder="1" applyAlignment="1">
      <alignment horizontal="center" vertical="center"/>
    </xf>
    <xf numFmtId="0" fontId="247" fillId="31" borderId="15" xfId="0" applyFont="1" applyFill="1" applyBorder="1" applyAlignment="1">
      <alignment horizontal="center" vertical="center"/>
    </xf>
    <xf numFmtId="0" fontId="218" fillId="4" borderId="15" xfId="0" applyFont="1" applyFill="1" applyBorder="1" applyAlignment="1">
      <alignment horizontal="center" vertical="center"/>
    </xf>
    <xf numFmtId="200" fontId="218" fillId="0" borderId="15" xfId="1" applyNumberFormat="1" applyFont="1" applyBorder="1" applyAlignment="1">
      <alignment horizontal="center" vertical="center"/>
    </xf>
    <xf numFmtId="176" fontId="218" fillId="0" borderId="15" xfId="1" applyFont="1" applyBorder="1" applyAlignment="1">
      <alignment horizontal="center" vertical="center"/>
    </xf>
    <xf numFmtId="0" fontId="250" fillId="4" borderId="167" xfId="11" applyFont="1" applyFill="1" applyBorder="1" applyAlignment="1">
      <alignment horizontal="center" vertical="center"/>
    </xf>
    <xf numFmtId="0" fontId="250" fillId="4" borderId="15" xfId="11" applyFont="1" applyFill="1" applyBorder="1" applyAlignment="1">
      <alignment horizontal="center" vertical="center"/>
    </xf>
    <xf numFmtId="200" fontId="218" fillId="5" borderId="15" xfId="1" applyNumberFormat="1" applyFont="1" applyFill="1" applyBorder="1" applyAlignment="1">
      <alignment horizontal="center" vertical="center"/>
    </xf>
    <xf numFmtId="2" fontId="218" fillId="5" borderId="15" xfId="3" applyNumberFormat="1" applyFont="1" applyFill="1" applyBorder="1" applyAlignment="1">
      <alignment horizontal="center" vertical="center"/>
    </xf>
    <xf numFmtId="0" fontId="218" fillId="30" borderId="15" xfId="0" applyFont="1" applyFill="1" applyBorder="1" applyAlignment="1">
      <alignment horizontal="center" vertical="center"/>
    </xf>
    <xf numFmtId="0" fontId="251" fillId="0" borderId="0" xfId="0" applyFont="1">
      <alignment vertical="center"/>
    </xf>
    <xf numFmtId="0" fontId="218" fillId="6" borderId="15" xfId="0" applyFont="1" applyFill="1" applyBorder="1" applyAlignment="1">
      <alignment horizontal="center" vertical="center"/>
    </xf>
    <xf numFmtId="0" fontId="218" fillId="0" borderId="41" xfId="0" applyFont="1" applyBorder="1">
      <alignment vertical="center"/>
    </xf>
    <xf numFmtId="0" fontId="218" fillId="0" borderId="9" xfId="0" applyFont="1" applyBorder="1">
      <alignment vertical="center"/>
    </xf>
    <xf numFmtId="0" fontId="218" fillId="0" borderId="10" xfId="0" applyFont="1" applyBorder="1">
      <alignment vertical="center"/>
    </xf>
    <xf numFmtId="0" fontId="218" fillId="0" borderId="1" xfId="0" applyFont="1" applyBorder="1">
      <alignment vertical="center"/>
    </xf>
    <xf numFmtId="0" fontId="218" fillId="0" borderId="2" xfId="0" applyFont="1" applyBorder="1">
      <alignment vertical="center"/>
    </xf>
    <xf numFmtId="0" fontId="218" fillId="0" borderId="0" xfId="0" applyFont="1" applyAlignment="1">
      <alignment horizontal="center" vertical="center"/>
    </xf>
    <xf numFmtId="0" fontId="218" fillId="0" borderId="0" xfId="0" applyFont="1" applyAlignment="1">
      <alignment horizontal="right" vertical="center"/>
    </xf>
    <xf numFmtId="0" fontId="249" fillId="0" borderId="0" xfId="0" applyFont="1">
      <alignment vertical="center"/>
    </xf>
    <xf numFmtId="41" fontId="218" fillId="0" borderId="0" xfId="0" applyNumberFormat="1" applyFont="1" applyAlignment="1">
      <alignment horizontal="center" vertical="center"/>
    </xf>
    <xf numFmtId="0" fontId="218" fillId="0" borderId="3" xfId="0" applyFont="1" applyBorder="1">
      <alignment vertical="center"/>
    </xf>
    <xf numFmtId="0" fontId="218" fillId="0" borderId="4" xfId="0" applyFont="1" applyBorder="1">
      <alignment vertical="center"/>
    </xf>
    <xf numFmtId="0" fontId="218" fillId="0" borderId="5" xfId="0" applyFont="1" applyBorder="1">
      <alignment vertical="center"/>
    </xf>
    <xf numFmtId="0" fontId="218" fillId="0" borderId="79" xfId="11" applyFont="1" applyBorder="1" applyAlignment="1">
      <alignment horizontal="center" vertical="center"/>
    </xf>
    <xf numFmtId="176" fontId="218" fillId="0" borderId="72" xfId="11" applyNumberFormat="1" applyFont="1" applyBorder="1" applyAlignment="1">
      <alignment horizontal="right" vertical="center"/>
    </xf>
    <xf numFmtId="0" fontId="218" fillId="0" borderId="15" xfId="11" applyFont="1" applyBorder="1" applyAlignment="1">
      <alignment horizontal="center" vertical="center"/>
    </xf>
    <xf numFmtId="0" fontId="218" fillId="0" borderId="72" xfId="11" applyFont="1" applyBorder="1" applyAlignment="1">
      <alignment horizontal="center" vertical="center"/>
    </xf>
    <xf numFmtId="0" fontId="247" fillId="17" borderId="72" xfId="11" applyFont="1" applyFill="1" applyBorder="1" applyAlignment="1">
      <alignment horizontal="center" vertical="center"/>
    </xf>
    <xf numFmtId="0" fontId="247" fillId="17" borderId="122" xfId="11" applyFont="1" applyFill="1" applyBorder="1" applyAlignment="1">
      <alignment horizontal="center" vertical="center"/>
    </xf>
    <xf numFmtId="0" fontId="247" fillId="17" borderId="15" xfId="11" applyFont="1" applyFill="1" applyBorder="1" applyAlignment="1">
      <alignment horizontal="center" vertical="center"/>
    </xf>
    <xf numFmtId="43" fontId="218" fillId="0" borderId="0" xfId="0" applyNumberFormat="1" applyFont="1">
      <alignment vertical="center"/>
    </xf>
    <xf numFmtId="2" fontId="218" fillId="5" borderId="25" xfId="3" applyNumberFormat="1" applyFont="1" applyFill="1" applyBorder="1" applyProtection="1">
      <alignment vertical="center"/>
    </xf>
    <xf numFmtId="0" fontId="218" fillId="7" borderId="15" xfId="0" applyFont="1" applyFill="1" applyBorder="1" applyAlignment="1">
      <alignment horizontal="center" vertical="center"/>
    </xf>
    <xf numFmtId="176" fontId="218" fillId="0" borderId="0" xfId="0" applyNumberFormat="1" applyFont="1">
      <alignment vertical="center"/>
    </xf>
    <xf numFmtId="43" fontId="218" fillId="0" borderId="0" xfId="0" applyNumberFormat="1" applyFont="1" applyAlignment="1">
      <alignment horizontal="center" vertical="center"/>
    </xf>
    <xf numFmtId="176" fontId="218" fillId="0" borderId="0" xfId="1" applyFont="1" applyBorder="1">
      <alignment vertical="center"/>
    </xf>
    <xf numFmtId="43" fontId="218" fillId="0" borderId="4" xfId="0" applyNumberFormat="1" applyFont="1" applyBorder="1">
      <alignment vertical="center"/>
    </xf>
    <xf numFmtId="176" fontId="218" fillId="0" borderId="4" xfId="1" applyFont="1" applyBorder="1">
      <alignment vertical="center"/>
    </xf>
    <xf numFmtId="0" fontId="234" fillId="0" borderId="20" xfId="40" applyFont="1" applyBorder="1" applyAlignment="1">
      <alignment vertical="center" wrapText="1"/>
    </xf>
    <xf numFmtId="0" fontId="246" fillId="21" borderId="234" xfId="11" applyFont="1" applyFill="1" applyBorder="1" applyAlignment="1">
      <alignment horizontal="center" vertical="center"/>
    </xf>
    <xf numFmtId="176" fontId="218" fillId="0" borderId="233" xfId="13" applyFont="1" applyFill="1" applyBorder="1" applyProtection="1">
      <alignment vertical="center"/>
    </xf>
    <xf numFmtId="191" fontId="218" fillId="5" borderId="233" xfId="1" applyNumberFormat="1" applyFont="1" applyFill="1" applyBorder="1" applyProtection="1">
      <alignment vertical="center"/>
    </xf>
    <xf numFmtId="9" fontId="218" fillId="0" borderId="233" xfId="3" applyFont="1" applyFill="1" applyBorder="1" applyProtection="1">
      <alignment vertical="center"/>
    </xf>
    <xf numFmtId="9" fontId="218" fillId="0" borderId="234" xfId="3" applyFont="1" applyFill="1" applyBorder="1" applyProtection="1">
      <alignment vertical="center"/>
    </xf>
    <xf numFmtId="10" fontId="218" fillId="5" borderId="235" xfId="3" applyNumberFormat="1" applyFont="1" applyFill="1" applyBorder="1" applyProtection="1">
      <alignment vertical="center"/>
    </xf>
    <xf numFmtId="176" fontId="218" fillId="0" borderId="236" xfId="1" applyFont="1" applyFill="1" applyBorder="1" applyProtection="1">
      <alignment vertical="center"/>
    </xf>
    <xf numFmtId="0" fontId="234" fillId="0" borderId="15" xfId="0" applyFont="1" applyBorder="1" applyAlignment="1">
      <alignment horizontal="center" vertical="center"/>
    </xf>
    <xf numFmtId="0" fontId="234" fillId="0" borderId="20" xfId="0" applyFont="1" applyBorder="1" applyAlignment="1">
      <alignment horizontal="center" vertical="center"/>
    </xf>
    <xf numFmtId="0" fontId="252" fillId="0" borderId="0" xfId="0" applyFont="1">
      <alignment vertical="center"/>
    </xf>
    <xf numFmtId="176" fontId="0" fillId="0" borderId="0" xfId="1" applyFont="1" applyAlignment="1">
      <alignment horizontal="left" vertical="center"/>
    </xf>
    <xf numFmtId="0" fontId="20" fillId="6" borderId="48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10" fillId="6" borderId="60" xfId="0" applyFont="1" applyFill="1" applyBorder="1">
      <alignment vertical="center"/>
    </xf>
    <xf numFmtId="176" fontId="10" fillId="6" borderId="62" xfId="1" applyFont="1" applyFill="1" applyBorder="1" applyAlignment="1">
      <alignment horizontal="center" vertical="center"/>
    </xf>
    <xf numFmtId="0" fontId="10" fillId="6" borderId="43" xfId="0" applyFont="1" applyFill="1" applyBorder="1">
      <alignment vertical="center"/>
    </xf>
    <xf numFmtId="176" fontId="10" fillId="6" borderId="69" xfId="1" applyFont="1" applyFill="1" applyBorder="1" applyAlignment="1">
      <alignment horizontal="center" vertical="center"/>
    </xf>
    <xf numFmtId="0" fontId="10" fillId="4" borderId="43" xfId="0" applyFont="1" applyFill="1" applyBorder="1">
      <alignment vertical="center"/>
    </xf>
    <xf numFmtId="176" fontId="10" fillId="4" borderId="69" xfId="1" applyFont="1" applyFill="1" applyBorder="1" applyAlignment="1">
      <alignment horizontal="center" vertical="center"/>
    </xf>
    <xf numFmtId="0" fontId="10" fillId="4" borderId="237" xfId="0" applyFont="1" applyFill="1" applyBorder="1">
      <alignment vertical="center"/>
    </xf>
    <xf numFmtId="176" fontId="10" fillId="4" borderId="136" xfId="1" applyFont="1" applyFill="1" applyBorder="1" applyAlignment="1">
      <alignment horizontal="center" vertical="center"/>
    </xf>
    <xf numFmtId="176" fontId="10" fillId="0" borderId="0" xfId="1" applyFont="1">
      <alignment vertical="center"/>
    </xf>
    <xf numFmtId="176" fontId="10" fillId="0" borderId="21" xfId="1" applyFont="1" applyBorder="1">
      <alignment vertical="center"/>
    </xf>
    <xf numFmtId="0" fontId="10" fillId="34" borderId="15" xfId="0" applyFont="1" applyFill="1" applyBorder="1" applyAlignment="1">
      <alignment horizontal="center" vertical="center"/>
    </xf>
    <xf numFmtId="0" fontId="10" fillId="34" borderId="21" xfId="0" applyFont="1" applyFill="1" applyBorder="1" applyAlignment="1">
      <alignment horizontal="center" vertical="center"/>
    </xf>
    <xf numFmtId="178" fontId="9" fillId="0" borderId="28" xfId="5" applyNumberFormat="1" applyFont="1" applyFill="1" applyBorder="1" applyAlignment="1">
      <alignment vertical="center"/>
    </xf>
    <xf numFmtId="178" fontId="9" fillId="0" borderId="17" xfId="5" applyNumberFormat="1" applyFont="1" applyFill="1" applyBorder="1" applyAlignment="1">
      <alignment vertical="center"/>
    </xf>
    <xf numFmtId="0" fontId="151" fillId="20" borderId="239" xfId="0" applyFont="1" applyFill="1" applyBorder="1" applyAlignment="1" applyProtection="1">
      <alignment horizontal="center" vertical="center"/>
      <protection locked="0"/>
    </xf>
    <xf numFmtId="0" fontId="141" fillId="20" borderId="241" xfId="0" applyFont="1" applyFill="1" applyBorder="1" applyAlignment="1" applyProtection="1">
      <alignment horizontal="center" vertical="center"/>
      <protection locked="0"/>
    </xf>
    <xf numFmtId="0" fontId="123" fillId="20" borderId="242" xfId="0" applyFont="1" applyFill="1" applyBorder="1" applyAlignment="1" applyProtection="1">
      <alignment horizontal="center" vertical="center"/>
      <protection locked="0"/>
    </xf>
    <xf numFmtId="0" fontId="123" fillId="20" borderId="240" xfId="0" applyFont="1" applyFill="1" applyBorder="1" applyAlignment="1" applyProtection="1">
      <alignment horizontal="center" vertical="center"/>
      <protection locked="0"/>
    </xf>
    <xf numFmtId="0" fontId="253" fillId="0" borderId="0" xfId="0" applyFont="1">
      <alignment vertical="center"/>
    </xf>
    <xf numFmtId="0" fontId="19" fillId="6" borderId="34" xfId="0" applyFont="1" applyFill="1" applyBorder="1" applyAlignment="1">
      <alignment horizontal="center" vertical="center"/>
    </xf>
    <xf numFmtId="0" fontId="19" fillId="6" borderId="35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19" fillId="6" borderId="24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24" xfId="0" applyFont="1" applyBorder="1" applyAlignment="1">
      <alignment horizontal="center" vertical="center"/>
    </xf>
    <xf numFmtId="176" fontId="10" fillId="0" borderId="29" xfId="1" applyFont="1" applyFill="1" applyBorder="1">
      <alignment vertical="center"/>
    </xf>
    <xf numFmtId="176" fontId="10" fillId="0" borderId="17" xfId="1" applyFont="1" applyFill="1" applyBorder="1">
      <alignment vertical="center"/>
    </xf>
    <xf numFmtId="176" fontId="10" fillId="0" borderId="22" xfId="1" applyFont="1" applyFill="1" applyBorder="1" applyAlignment="1">
      <alignment horizontal="center" vertical="center"/>
    </xf>
    <xf numFmtId="176" fontId="10" fillId="0" borderId="152" xfId="1" applyFont="1" applyFill="1" applyBorder="1" applyAlignment="1">
      <alignment horizontal="center" vertical="center"/>
    </xf>
    <xf numFmtId="176" fontId="10" fillId="0" borderId="136" xfId="1" applyFont="1" applyFill="1" applyBorder="1">
      <alignment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176" fontId="32" fillId="5" borderId="25" xfId="1" applyFont="1" applyFill="1" applyBorder="1" applyProtection="1">
      <alignment vertical="center"/>
      <protection locked="0"/>
    </xf>
    <xf numFmtId="0" fontId="93" fillId="17" borderId="15" xfId="0" applyFont="1" applyFill="1" applyBorder="1" applyAlignment="1">
      <alignment horizontal="center" vertical="center"/>
    </xf>
    <xf numFmtId="0" fontId="93" fillId="17" borderId="47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46" fillId="0" borderId="0" xfId="3" applyFont="1" applyFill="1">
      <alignment vertical="center"/>
    </xf>
    <xf numFmtId="9" fontId="46" fillId="0" borderId="0" xfId="3" applyFont="1" applyFill="1" applyAlignment="1">
      <alignment horizontal="center" vertical="center"/>
    </xf>
    <xf numFmtId="0" fontId="93" fillId="0" borderId="8" xfId="0" applyFont="1" applyBorder="1" applyAlignment="1">
      <alignment horizontal="center" vertical="center"/>
    </xf>
    <xf numFmtId="0" fontId="93" fillId="0" borderId="113" xfId="0" applyFont="1" applyBorder="1" applyAlignment="1">
      <alignment horizontal="center" vertical="center"/>
    </xf>
    <xf numFmtId="0" fontId="93" fillId="0" borderId="161" xfId="0" applyFont="1" applyBorder="1" applyAlignment="1">
      <alignment horizontal="center" vertical="center"/>
    </xf>
    <xf numFmtId="0" fontId="92" fillId="0" borderId="219" xfId="0" applyFont="1" applyBorder="1" applyAlignment="1">
      <alignment horizontal="center" vertical="center"/>
    </xf>
    <xf numFmtId="0" fontId="92" fillId="0" borderId="220" xfId="0" applyFont="1" applyBorder="1" applyAlignment="1">
      <alignment horizontal="center" vertical="center"/>
    </xf>
    <xf numFmtId="0" fontId="92" fillId="0" borderId="77" xfId="0" applyFont="1" applyBorder="1" applyAlignment="1">
      <alignment horizontal="center" vertical="center"/>
    </xf>
    <xf numFmtId="0" fontId="93" fillId="0" borderId="70" xfId="0" applyFont="1" applyBorder="1" applyAlignment="1">
      <alignment horizontal="center" vertical="center"/>
    </xf>
    <xf numFmtId="181" fontId="92" fillId="0" borderId="22" xfId="0" applyNumberFormat="1" applyFont="1" applyBorder="1" applyAlignment="1">
      <alignment horizontal="center" vertical="center"/>
    </xf>
    <xf numFmtId="181" fontId="92" fillId="0" borderId="152" xfId="0" applyNumberFormat="1" applyFont="1" applyBorder="1" applyAlignment="1">
      <alignment horizontal="center" vertical="center"/>
    </xf>
    <xf numFmtId="0" fontId="93" fillId="0" borderId="51" xfId="0" applyFont="1" applyBorder="1" applyAlignment="1">
      <alignment horizontal="center" vertical="center"/>
    </xf>
    <xf numFmtId="181" fontId="92" fillId="0" borderId="15" xfId="0" applyNumberFormat="1" applyFont="1" applyBorder="1" applyAlignment="1">
      <alignment horizontal="center" vertical="center"/>
    </xf>
    <xf numFmtId="181" fontId="92" fillId="0" borderId="21" xfId="0" applyNumberFormat="1" applyFont="1" applyBorder="1" applyAlignment="1">
      <alignment horizontal="center" vertical="center"/>
    </xf>
    <xf numFmtId="0" fontId="93" fillId="5" borderId="21" xfId="0" applyFont="1" applyFill="1" applyBorder="1" applyAlignment="1">
      <alignment horizontal="left" vertical="top" wrapText="1"/>
    </xf>
    <xf numFmtId="0" fontId="93" fillId="5" borderId="20" xfId="0" applyFont="1" applyFill="1" applyBorder="1" applyAlignment="1">
      <alignment horizontal="left" vertical="top"/>
    </xf>
    <xf numFmtId="0" fontId="93" fillId="5" borderId="20" xfId="0" applyFont="1" applyFill="1" applyBorder="1">
      <alignment vertical="center"/>
    </xf>
    <xf numFmtId="0" fontId="93" fillId="5" borderId="15" xfId="0" applyFont="1" applyFill="1" applyBorder="1">
      <alignment vertical="center"/>
    </xf>
    <xf numFmtId="0" fontId="93" fillId="5" borderId="21" xfId="0" applyFont="1" applyFill="1" applyBorder="1">
      <alignment vertical="center"/>
    </xf>
    <xf numFmtId="181" fontId="93" fillId="0" borderId="15" xfId="3" applyNumberFormat="1" applyFont="1" applyBorder="1" applyAlignment="1">
      <alignment horizontal="center" vertical="center"/>
    </xf>
    <xf numFmtId="181" fontId="93" fillId="0" borderId="21" xfId="3" applyNumberFormat="1" applyFont="1" applyBorder="1" applyAlignment="1">
      <alignment horizontal="center" vertical="center"/>
    </xf>
    <xf numFmtId="0" fontId="93" fillId="5" borderId="20" xfId="0" applyFont="1" applyFill="1" applyBorder="1" applyAlignment="1">
      <alignment vertical="center" wrapText="1"/>
    </xf>
    <xf numFmtId="181" fontId="94" fillId="0" borderId="21" xfId="3" applyNumberFormat="1" applyFont="1" applyBorder="1" applyAlignment="1">
      <alignment horizontal="center" vertical="center"/>
    </xf>
    <xf numFmtId="0" fontId="93" fillId="0" borderId="22" xfId="40" applyFont="1" applyBorder="1" applyAlignment="1">
      <alignment horizontal="left" vertical="center"/>
    </xf>
    <xf numFmtId="0" fontId="90" fillId="0" borderId="15" xfId="40" applyFont="1" applyBorder="1" applyAlignment="1">
      <alignment horizontal="center" vertical="center"/>
    </xf>
    <xf numFmtId="0" fontId="93" fillId="5" borderId="34" xfId="0" applyFont="1" applyFill="1" applyBorder="1" applyAlignment="1">
      <alignment vertical="center" wrapText="1"/>
    </xf>
    <xf numFmtId="0" fontId="93" fillId="5" borderId="221" xfId="0" applyFont="1" applyFill="1" applyBorder="1" applyAlignment="1">
      <alignment vertical="center" wrapText="1"/>
    </xf>
    <xf numFmtId="0" fontId="93" fillId="5" borderId="244" xfId="0" applyFont="1" applyFill="1" applyBorder="1" applyAlignment="1">
      <alignment vertical="center" wrapText="1"/>
    </xf>
    <xf numFmtId="0" fontId="93" fillId="5" borderId="26" xfId="0" applyFont="1" applyFill="1" applyBorder="1" applyAlignment="1">
      <alignment vertical="center" wrapText="1"/>
    </xf>
    <xf numFmtId="0" fontId="93" fillId="5" borderId="22" xfId="0" applyFont="1" applyFill="1" applyBorder="1" applyAlignment="1">
      <alignment vertical="center" wrapText="1"/>
    </xf>
    <xf numFmtId="0" fontId="93" fillId="5" borderId="20" xfId="0" applyFont="1" applyFill="1" applyBorder="1" applyAlignment="1">
      <alignment horizontal="left" vertical="top" wrapText="1"/>
    </xf>
    <xf numFmtId="0" fontId="93" fillId="5" borderId="15" xfId="0" applyFont="1" applyFill="1" applyBorder="1" applyAlignment="1">
      <alignment horizontal="left" vertical="top" wrapText="1"/>
    </xf>
    <xf numFmtId="0" fontId="93" fillId="5" borderId="15" xfId="0" applyFont="1" applyFill="1" applyBorder="1" applyAlignment="1">
      <alignment horizontal="left" vertical="top"/>
    </xf>
    <xf numFmtId="0" fontId="93" fillId="5" borderId="21" xfId="0" applyFont="1" applyFill="1" applyBorder="1" applyAlignment="1">
      <alignment horizontal="left" vertical="top"/>
    </xf>
    <xf numFmtId="0" fontId="112" fillId="5" borderId="21" xfId="0" applyFont="1" applyFill="1" applyBorder="1">
      <alignment vertical="center"/>
    </xf>
    <xf numFmtId="0" fontId="90" fillId="0" borderId="22" xfId="40" applyFont="1" applyBorder="1" applyAlignment="1">
      <alignment horizontal="center" vertical="center"/>
    </xf>
    <xf numFmtId="0" fontId="90" fillId="0" borderId="246" xfId="40" applyFont="1" applyBorder="1" applyAlignment="1">
      <alignment horizontal="center" vertical="center"/>
    </xf>
    <xf numFmtId="0" fontId="89" fillId="18" borderId="246" xfId="40" applyFont="1" applyFill="1" applyBorder="1" applyAlignment="1">
      <alignment horizontal="center" vertical="center" wrapText="1"/>
    </xf>
    <xf numFmtId="0" fontId="89" fillId="0" borderId="219" xfId="40" applyFont="1" applyBorder="1" applyAlignment="1">
      <alignment horizontal="center" vertical="center"/>
    </xf>
    <xf numFmtId="176" fontId="87" fillId="0" borderId="77" xfId="41" applyFont="1" applyFill="1" applyBorder="1" applyAlignment="1">
      <alignment horizontal="center" vertical="center"/>
    </xf>
    <xf numFmtId="0" fontId="244" fillId="0" borderId="20" xfId="0" applyFont="1" applyBorder="1" applyAlignment="1">
      <alignment horizontal="center" vertical="center"/>
    </xf>
    <xf numFmtId="0" fontId="244" fillId="0" borderId="20" xfId="40" applyFont="1" applyBorder="1">
      <alignment vertical="center"/>
    </xf>
    <xf numFmtId="0" fontId="46" fillId="0" borderId="15" xfId="0" applyFont="1" applyBorder="1">
      <alignment vertical="center"/>
    </xf>
    <xf numFmtId="0" fontId="89" fillId="0" borderId="35" xfId="40" applyFont="1" applyBorder="1" applyAlignment="1">
      <alignment horizontal="center" vertical="center"/>
    </xf>
    <xf numFmtId="0" fontId="89" fillId="0" borderId="6" xfId="40" applyFont="1" applyBorder="1" applyAlignment="1">
      <alignment horizontal="center" vertical="center"/>
    </xf>
    <xf numFmtId="0" fontId="89" fillId="0" borderId="7" xfId="40" applyFont="1" applyBorder="1" applyAlignment="1">
      <alignment horizontal="center" vertical="center"/>
    </xf>
    <xf numFmtId="0" fontId="89" fillId="0" borderId="245" xfId="40" applyFont="1" applyBorder="1" applyAlignment="1">
      <alignment horizontal="center" vertical="center"/>
    </xf>
    <xf numFmtId="0" fontId="93" fillId="18" borderId="15" xfId="0" applyFont="1" applyFill="1" applyBorder="1" applyAlignment="1">
      <alignment horizontal="center" vertical="center"/>
    </xf>
    <xf numFmtId="0" fontId="255" fillId="0" borderId="15" xfId="0" applyFont="1" applyBorder="1" applyAlignment="1">
      <alignment horizontal="center" vertical="center"/>
    </xf>
    <xf numFmtId="0" fontId="256" fillId="5" borderId="15" xfId="0" applyFont="1" applyFill="1" applyBorder="1" applyAlignment="1">
      <alignment horizontal="center" vertical="center"/>
    </xf>
    <xf numFmtId="0" fontId="255" fillId="6" borderId="15" xfId="0" applyFont="1" applyFill="1" applyBorder="1" applyAlignment="1">
      <alignment horizontal="center" vertical="center"/>
    </xf>
    <xf numFmtId="0" fontId="257" fillId="0" borderId="15" xfId="0" applyFont="1" applyBorder="1" applyAlignment="1">
      <alignment horizontal="center" vertical="center"/>
    </xf>
    <xf numFmtId="176" fontId="257" fillId="18" borderId="15" xfId="0" applyNumberFormat="1" applyFont="1" applyFill="1" applyBorder="1" applyAlignment="1">
      <alignment horizontal="center" vertical="center"/>
    </xf>
    <xf numFmtId="176" fontId="257" fillId="0" borderId="15" xfId="0" applyNumberFormat="1" applyFont="1" applyBorder="1" applyAlignment="1">
      <alignment horizontal="center" vertical="center"/>
    </xf>
    <xf numFmtId="9" fontId="256" fillId="5" borderId="15" xfId="3" applyFont="1" applyFill="1" applyBorder="1" applyAlignment="1">
      <alignment horizontal="center" vertical="center"/>
    </xf>
    <xf numFmtId="0" fontId="257" fillId="6" borderId="15" xfId="1" applyNumberFormat="1" applyFont="1" applyFill="1" applyBorder="1" applyAlignment="1">
      <alignment horizontal="center" vertical="center"/>
    </xf>
    <xf numFmtId="181" fontId="257" fillId="0" borderId="15" xfId="3" applyNumberFormat="1" applyFont="1" applyFill="1" applyBorder="1" applyAlignment="1">
      <alignment horizontal="center" vertical="center"/>
    </xf>
    <xf numFmtId="9" fontId="256" fillId="18" borderId="15" xfId="3" applyFont="1" applyFill="1" applyBorder="1" applyAlignment="1">
      <alignment horizontal="center" vertical="center"/>
    </xf>
    <xf numFmtId="0" fontId="258" fillId="0" borderId="15" xfId="0" applyFont="1" applyBorder="1" applyAlignment="1">
      <alignment horizontal="center" vertical="center"/>
    </xf>
    <xf numFmtId="181" fontId="257" fillId="0" borderId="15" xfId="0" applyNumberFormat="1" applyFont="1" applyBorder="1" applyAlignment="1">
      <alignment horizontal="center" vertical="center"/>
    </xf>
    <xf numFmtId="181" fontId="18" fillId="9" borderId="0" xfId="3" applyNumberFormat="1" applyFont="1" applyFill="1" applyBorder="1" applyAlignment="1">
      <alignment horizontal="center" vertical="center"/>
    </xf>
    <xf numFmtId="9" fontId="7" fillId="0" borderId="112" xfId="3" applyFont="1" applyBorder="1" applyAlignment="1">
      <alignment vertical="center"/>
    </xf>
    <xf numFmtId="0" fontId="261" fillId="0" borderId="0" xfId="0" applyFont="1">
      <alignment vertical="center"/>
    </xf>
    <xf numFmtId="177" fontId="0" fillId="0" borderId="15" xfId="1" applyNumberFormat="1" applyFont="1" applyFill="1" applyBorder="1" applyAlignment="1">
      <alignment horizontal="center" vertical="center"/>
    </xf>
    <xf numFmtId="176" fontId="18" fillId="5" borderId="0" xfId="1" applyFont="1" applyFill="1" applyBorder="1" applyAlignment="1">
      <alignment horizontal="center" vertical="center"/>
    </xf>
    <xf numFmtId="0" fontId="225" fillId="0" borderId="0" xfId="0" applyFont="1">
      <alignment vertical="center"/>
    </xf>
    <xf numFmtId="0" fontId="94" fillId="0" borderId="20" xfId="40" applyFont="1" applyBorder="1" applyAlignment="1">
      <alignment horizontal="left" vertical="center"/>
    </xf>
    <xf numFmtId="0" fontId="94" fillId="0" borderId="34" xfId="40" applyFont="1" applyBorder="1">
      <alignment vertical="center"/>
    </xf>
    <xf numFmtId="0" fontId="93" fillId="0" borderId="20" xfId="40" applyFont="1" applyBorder="1" applyAlignment="1">
      <alignment horizontal="left" vertical="center" wrapText="1"/>
    </xf>
    <xf numFmtId="0" fontId="94" fillId="5" borderId="35" xfId="0" applyFont="1" applyFill="1" applyBorder="1" applyAlignment="1">
      <alignment vertical="center" wrapText="1"/>
    </xf>
    <xf numFmtId="0" fontId="94" fillId="5" borderId="15" xfId="0" applyFont="1" applyFill="1" applyBorder="1" applyAlignment="1">
      <alignment vertical="center" wrapText="1"/>
    </xf>
    <xf numFmtId="0" fontId="266" fillId="0" borderId="35" xfId="40" applyFont="1" applyBorder="1">
      <alignment vertical="center"/>
    </xf>
    <xf numFmtId="0" fontId="141" fillId="20" borderId="240" xfId="0" applyFont="1" applyFill="1" applyBorder="1" applyAlignment="1" applyProtection="1">
      <alignment horizontal="center" vertical="center"/>
      <protection locked="0"/>
    </xf>
    <xf numFmtId="0" fontId="25" fillId="0" borderId="103" xfId="0" applyFont="1" applyBorder="1" applyAlignment="1" applyProtection="1">
      <alignment horizontal="right" vertical="center"/>
      <protection locked="0"/>
    </xf>
    <xf numFmtId="0" fontId="268" fillId="0" borderId="15" xfId="0" applyFont="1" applyBorder="1" applyAlignment="1" applyProtection="1">
      <alignment horizontal="center" vertical="center"/>
      <protection locked="0"/>
    </xf>
    <xf numFmtId="181" fontId="41" fillId="5" borderId="0" xfId="3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7" fillId="0" borderId="2" xfId="0" applyFont="1" applyBorder="1" applyProtection="1">
      <alignment vertical="center"/>
      <protection locked="0"/>
    </xf>
    <xf numFmtId="0" fontId="123" fillId="0" borderId="35" xfId="0" applyFont="1" applyBorder="1" applyAlignment="1" applyProtection="1">
      <alignment horizontal="center" vertical="center"/>
      <protection locked="0"/>
    </xf>
    <xf numFmtId="0" fontId="116" fillId="0" borderId="20" xfId="0" applyFont="1" applyBorder="1">
      <alignment vertical="center"/>
    </xf>
    <xf numFmtId="0" fontId="0" fillId="0" borderId="50" xfId="0" applyBorder="1">
      <alignment vertical="center"/>
    </xf>
    <xf numFmtId="0" fontId="0" fillId="0" borderId="70" xfId="0" applyBorder="1">
      <alignment vertical="center"/>
    </xf>
    <xf numFmtId="0" fontId="230" fillId="15" borderId="130" xfId="0" applyFont="1" applyFill="1" applyBorder="1">
      <alignment vertical="center"/>
    </xf>
    <xf numFmtId="0" fontId="230" fillId="15" borderId="226" xfId="0" applyFont="1" applyFill="1" applyBorder="1">
      <alignment vertical="center"/>
    </xf>
    <xf numFmtId="0" fontId="116" fillId="0" borderId="12" xfId="0" applyFont="1" applyBorder="1" applyAlignment="1" applyProtection="1">
      <alignment horizontal="right" vertical="center"/>
      <protection locked="0"/>
    </xf>
    <xf numFmtId="0" fontId="116" fillId="0" borderId="34" xfId="0" applyFont="1" applyBorder="1" applyAlignment="1" applyProtection="1">
      <alignment horizontal="right" vertical="center"/>
      <protection locked="0"/>
    </xf>
    <xf numFmtId="176" fontId="25" fillId="0" borderId="15" xfId="1" applyFont="1" applyFill="1" applyBorder="1" applyAlignment="1" applyProtection="1">
      <alignment horizontal="center" vertical="center"/>
    </xf>
    <xf numFmtId="176" fontId="25" fillId="0" borderId="15" xfId="1" applyFont="1" applyFill="1" applyBorder="1" applyAlignment="1" applyProtection="1">
      <alignment horizontal="center" vertical="center"/>
      <protection locked="0"/>
    </xf>
    <xf numFmtId="176" fontId="129" fillId="12" borderId="18" xfId="1" applyFont="1" applyFill="1" applyBorder="1" applyAlignment="1" applyProtection="1">
      <alignment vertical="center"/>
    </xf>
    <xf numFmtId="0" fontId="18" fillId="5" borderId="46" xfId="0" applyFont="1" applyFill="1" applyBorder="1" applyAlignment="1">
      <alignment horizontal="center" vertical="center"/>
    </xf>
    <xf numFmtId="0" fontId="67" fillId="0" borderId="8" xfId="0" applyFont="1" applyBorder="1" applyProtection="1">
      <alignment vertical="center"/>
      <protection locked="0"/>
    </xf>
    <xf numFmtId="0" fontId="17" fillId="0" borderId="5" xfId="0" applyFont="1" applyBorder="1" applyProtection="1">
      <alignment vertical="center"/>
      <protection locked="0"/>
    </xf>
    <xf numFmtId="0" fontId="45" fillId="0" borderId="113" xfId="0" applyFont="1" applyBorder="1" applyAlignment="1" applyProtection="1">
      <alignment horizontal="center" vertical="center"/>
      <protection locked="0"/>
    </xf>
    <xf numFmtId="0" fontId="45" fillId="0" borderId="14" xfId="0" applyFont="1" applyBorder="1" applyAlignment="1" applyProtection="1">
      <alignment horizontal="center" vertical="center"/>
      <protection locked="0"/>
    </xf>
    <xf numFmtId="0" fontId="45" fillId="0" borderId="49" xfId="0" applyFont="1" applyBorder="1" applyAlignment="1" applyProtection="1">
      <alignment horizontal="center" vertical="center"/>
      <protection locked="0"/>
    </xf>
    <xf numFmtId="0" fontId="17" fillId="0" borderId="0" xfId="0" applyFont="1">
      <alignment vertical="center"/>
    </xf>
    <xf numFmtId="0" fontId="45" fillId="0" borderId="14" xfId="0" applyFont="1" applyBorder="1">
      <alignment vertical="center"/>
    </xf>
    <xf numFmtId="0" fontId="18" fillId="0" borderId="14" xfId="0" applyFont="1" applyBorder="1">
      <alignment vertical="center"/>
    </xf>
    <xf numFmtId="0" fontId="17" fillId="0" borderId="49" xfId="0" applyFont="1" applyBorder="1">
      <alignment vertical="center"/>
    </xf>
    <xf numFmtId="0" fontId="262" fillId="15" borderId="0" xfId="0" applyFont="1" applyFill="1">
      <alignment vertical="center"/>
    </xf>
    <xf numFmtId="176" fontId="7" fillId="0" borderId="15" xfId="1" applyFont="1" applyFill="1" applyBorder="1" applyAlignment="1">
      <alignment horizontal="left" vertical="center"/>
    </xf>
    <xf numFmtId="0" fontId="248" fillId="35" borderId="161" xfId="0" applyFont="1" applyFill="1" applyBorder="1" applyAlignment="1">
      <alignment horizontal="center" vertical="center"/>
    </xf>
    <xf numFmtId="0" fontId="248" fillId="35" borderId="219" xfId="0" applyFont="1" applyFill="1" applyBorder="1" applyAlignment="1">
      <alignment horizontal="center" vertical="center"/>
    </xf>
    <xf numFmtId="0" fontId="248" fillId="35" borderId="77" xfId="0" applyFont="1" applyFill="1" applyBorder="1" applyAlignment="1">
      <alignment horizontal="center" vertical="center"/>
    </xf>
    <xf numFmtId="0" fontId="96" fillId="0" borderId="35" xfId="0" applyFont="1" applyBorder="1" applyAlignment="1">
      <alignment horizontal="center" vertical="center"/>
    </xf>
    <xf numFmtId="0" fontId="96" fillId="0" borderId="35" xfId="0" applyFont="1" applyBorder="1">
      <alignment vertical="center"/>
    </xf>
    <xf numFmtId="176" fontId="96" fillId="0" borderId="35" xfId="1" applyFont="1" applyFill="1" applyBorder="1">
      <alignment vertical="center"/>
    </xf>
    <xf numFmtId="176" fontId="96" fillId="0" borderId="36" xfId="1" applyFont="1" applyBorder="1">
      <alignment vertical="center"/>
    </xf>
    <xf numFmtId="0" fontId="96" fillId="0" borderId="15" xfId="0" applyFont="1" applyBorder="1" applyAlignment="1">
      <alignment horizontal="center" vertical="center"/>
    </xf>
    <xf numFmtId="0" fontId="96" fillId="0" borderId="15" xfId="0" applyFont="1" applyBorder="1">
      <alignment vertical="center"/>
    </xf>
    <xf numFmtId="176" fontId="96" fillId="0" borderId="15" xfId="1" applyFont="1" applyFill="1" applyBorder="1">
      <alignment vertical="center"/>
    </xf>
    <xf numFmtId="176" fontId="96" fillId="0" borderId="2" xfId="1" applyFont="1" applyBorder="1">
      <alignment vertical="center"/>
    </xf>
    <xf numFmtId="176" fontId="96" fillId="0" borderId="21" xfId="1" applyFont="1" applyFill="1" applyBorder="1">
      <alignment vertical="center"/>
    </xf>
    <xf numFmtId="0" fontId="96" fillId="0" borderId="22" xfId="0" applyFont="1" applyBorder="1" applyAlignment="1">
      <alignment horizontal="center" vertical="center"/>
    </xf>
    <xf numFmtId="0" fontId="96" fillId="0" borderId="2" xfId="0" applyFont="1" applyBorder="1">
      <alignment vertical="center"/>
    </xf>
    <xf numFmtId="0" fontId="96" fillId="0" borderId="29" xfId="0" applyFont="1" applyBorder="1" applyAlignment="1">
      <alignment horizontal="center" vertical="center"/>
    </xf>
    <xf numFmtId="0" fontId="96" fillId="0" borderId="29" xfId="0" applyFont="1" applyBorder="1">
      <alignment vertical="center"/>
    </xf>
    <xf numFmtId="176" fontId="96" fillId="0" borderId="29" xfId="1" applyFont="1" applyFill="1" applyBorder="1">
      <alignment vertical="center"/>
    </xf>
    <xf numFmtId="0" fontId="96" fillId="0" borderId="22" xfId="0" applyFont="1" applyBorder="1">
      <alignment vertical="center"/>
    </xf>
    <xf numFmtId="176" fontId="96" fillId="0" borderId="36" xfId="1" applyFont="1" applyFill="1" applyBorder="1">
      <alignment vertical="center"/>
    </xf>
    <xf numFmtId="176" fontId="96" fillId="0" borderId="227" xfId="1" applyFont="1" applyBorder="1">
      <alignment vertical="center"/>
    </xf>
    <xf numFmtId="0" fontId="96" fillId="0" borderId="5" xfId="0" applyFont="1" applyBorder="1">
      <alignment vertical="center"/>
    </xf>
    <xf numFmtId="176" fontId="96" fillId="0" borderId="243" xfId="1" applyFont="1" applyBorder="1">
      <alignment vertical="center"/>
    </xf>
    <xf numFmtId="0" fontId="96" fillId="0" borderId="248" xfId="0" applyFont="1" applyBorder="1">
      <alignment vertical="center"/>
    </xf>
    <xf numFmtId="0" fontId="96" fillId="0" borderId="10" xfId="0" applyFont="1" applyBorder="1">
      <alignment vertical="center"/>
    </xf>
    <xf numFmtId="176" fontId="96" fillId="0" borderId="48" xfId="1" applyFont="1" applyBorder="1">
      <alignment vertical="center"/>
    </xf>
    <xf numFmtId="0" fontId="96" fillId="0" borderId="224" xfId="0" applyFont="1" applyBorder="1">
      <alignment vertical="center"/>
    </xf>
    <xf numFmtId="0" fontId="96" fillId="0" borderId="47" xfId="0" applyFont="1" applyBorder="1">
      <alignment vertical="center"/>
    </xf>
    <xf numFmtId="176" fontId="96" fillId="0" borderId="39" xfId="1" applyFont="1" applyFill="1" applyBorder="1">
      <alignment vertical="center"/>
    </xf>
    <xf numFmtId="0" fontId="99" fillId="0" borderId="249" xfId="0" applyFont="1" applyBorder="1" applyAlignment="1" applyProtection="1">
      <alignment horizontal="left" vertical="center"/>
      <protection locked="0"/>
    </xf>
    <xf numFmtId="0" fontId="99" fillId="0" borderId="37" xfId="0" applyFont="1" applyBorder="1" applyAlignment="1" applyProtection="1">
      <alignment horizontal="left" vertical="center"/>
      <protection locked="0"/>
    </xf>
    <xf numFmtId="0" fontId="172" fillId="7" borderId="47" xfId="0" applyFont="1" applyFill="1" applyBorder="1" applyAlignment="1">
      <alignment horizontal="center" vertical="center"/>
    </xf>
    <xf numFmtId="0" fontId="172" fillId="0" borderId="47" xfId="0" applyFont="1" applyBorder="1" applyAlignment="1">
      <alignment horizontal="center" vertical="center"/>
    </xf>
    <xf numFmtId="0" fontId="123" fillId="7" borderId="15" xfId="0" applyFont="1" applyFill="1" applyBorder="1" applyAlignment="1" applyProtection="1">
      <alignment horizontal="left" vertical="center"/>
      <protection locked="0"/>
    </xf>
    <xf numFmtId="176" fontId="10" fillId="16" borderId="47" xfId="0" applyNumberFormat="1" applyFont="1" applyFill="1" applyBorder="1">
      <alignment vertical="center"/>
    </xf>
    <xf numFmtId="0" fontId="10" fillId="6" borderId="168" xfId="0" applyFont="1" applyFill="1" applyBorder="1">
      <alignment vertical="center"/>
    </xf>
    <xf numFmtId="0" fontId="10" fillId="6" borderId="106" xfId="0" applyFont="1" applyFill="1" applyBorder="1">
      <alignment vertical="center"/>
    </xf>
    <xf numFmtId="0" fontId="10" fillId="0" borderId="227" xfId="0" applyFont="1" applyBorder="1">
      <alignment vertical="center"/>
    </xf>
    <xf numFmtId="176" fontId="10" fillId="0" borderId="50" xfId="1" applyFont="1" applyFill="1" applyBorder="1">
      <alignment vertical="center"/>
    </xf>
    <xf numFmtId="176" fontId="10" fillId="0" borderId="50" xfId="1" applyFont="1" applyBorder="1">
      <alignment vertical="center"/>
    </xf>
    <xf numFmtId="0" fontId="218" fillId="0" borderId="227" xfId="0" applyFont="1" applyBorder="1">
      <alignment vertical="center"/>
    </xf>
    <xf numFmtId="0" fontId="10" fillId="0" borderId="228" xfId="0" applyFont="1" applyBorder="1">
      <alignment vertical="center"/>
    </xf>
    <xf numFmtId="176" fontId="10" fillId="0" borderId="70" xfId="1" applyFont="1" applyBorder="1">
      <alignment vertical="center"/>
    </xf>
    <xf numFmtId="176" fontId="218" fillId="0" borderId="50" xfId="1" applyFont="1" applyFill="1" applyBorder="1">
      <alignment vertical="center"/>
    </xf>
    <xf numFmtId="176" fontId="218" fillId="0" borderId="70" xfId="1" applyFont="1" applyFill="1" applyBorder="1">
      <alignment vertical="center"/>
    </xf>
    <xf numFmtId="0" fontId="218" fillId="0" borderId="228" xfId="0" applyFont="1" applyBorder="1">
      <alignment vertical="center"/>
    </xf>
    <xf numFmtId="0" fontId="96" fillId="0" borderId="250" xfId="0" applyFont="1" applyBorder="1" applyAlignment="1">
      <alignment horizontal="center" vertical="center"/>
    </xf>
    <xf numFmtId="0" fontId="96" fillId="0" borderId="50" xfId="0" applyFont="1" applyBorder="1" applyAlignment="1">
      <alignment horizontal="center" vertical="center"/>
    </xf>
    <xf numFmtId="0" fontId="96" fillId="0" borderId="251" xfId="0" applyFont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96" fillId="0" borderId="18" xfId="0" applyFont="1" applyBorder="1">
      <alignment vertical="center"/>
    </xf>
    <xf numFmtId="176" fontId="96" fillId="0" borderId="244" xfId="1" applyFont="1" applyFill="1" applyBorder="1">
      <alignment vertical="center"/>
    </xf>
    <xf numFmtId="176" fontId="96" fillId="0" borderId="0" xfId="1" applyFont="1">
      <alignment vertical="center"/>
    </xf>
    <xf numFmtId="0" fontId="96" fillId="0" borderId="224" xfId="0" applyFont="1" applyBorder="1" applyAlignment="1">
      <alignment horizontal="center" vertical="center"/>
    </xf>
    <xf numFmtId="176" fontId="96" fillId="0" borderId="17" xfId="1" applyFont="1" applyFill="1" applyBorder="1">
      <alignment vertical="center"/>
    </xf>
    <xf numFmtId="176" fontId="96" fillId="0" borderId="10" xfId="1" applyFont="1" applyFill="1" applyBorder="1">
      <alignment vertical="center"/>
    </xf>
    <xf numFmtId="0" fontId="10" fillId="6" borderId="130" xfId="0" applyFont="1" applyFill="1" applyBorder="1">
      <alignment vertical="center"/>
    </xf>
    <xf numFmtId="176" fontId="96" fillId="5" borderId="22" xfId="1" applyFont="1" applyFill="1" applyBorder="1">
      <alignment vertical="center"/>
    </xf>
    <xf numFmtId="176" fontId="96" fillId="5" borderId="15" xfId="1" applyFont="1" applyFill="1" applyBorder="1">
      <alignment vertical="center"/>
    </xf>
    <xf numFmtId="0" fontId="279" fillId="0" borderId="0" xfId="0" applyFont="1">
      <alignment vertical="center"/>
    </xf>
    <xf numFmtId="0" fontId="261" fillId="0" borderId="4" xfId="0" applyFont="1" applyBorder="1" applyAlignment="1">
      <alignment horizontal="left" vertical="center" readingOrder="1"/>
    </xf>
    <xf numFmtId="0" fontId="32" fillId="4" borderId="69" xfId="0" applyFont="1" applyFill="1" applyBorder="1" applyAlignment="1" applyProtection="1">
      <alignment horizontal="center" vertical="center"/>
      <protection locked="0"/>
    </xf>
    <xf numFmtId="193" fontId="8" fillId="0" borderId="15" xfId="0" applyNumberFormat="1" applyFont="1" applyBorder="1" applyAlignment="1" applyProtection="1">
      <alignment horizontal="left" vertical="center"/>
      <protection locked="0"/>
    </xf>
    <xf numFmtId="10" fontId="32" fillId="6" borderId="51" xfId="3" applyNumberFormat="1" applyFont="1" applyFill="1" applyBorder="1" applyAlignment="1" applyProtection="1">
      <alignment horizontal="center" vertical="center"/>
      <protection locked="0"/>
    </xf>
    <xf numFmtId="0" fontId="230" fillId="15" borderId="130" xfId="0" applyFont="1" applyFill="1" applyBorder="1" applyAlignment="1">
      <alignment horizontal="center" vertical="center"/>
    </xf>
    <xf numFmtId="0" fontId="230" fillId="15" borderId="226" xfId="0" applyFont="1" applyFill="1" applyBorder="1" applyAlignment="1">
      <alignment horizontal="center" vertical="center"/>
    </xf>
    <xf numFmtId="0" fontId="96" fillId="0" borderId="0" xfId="0" applyFont="1" applyAlignment="1">
      <alignment horizontal="center" vertical="center"/>
    </xf>
    <xf numFmtId="176" fontId="156" fillId="15" borderId="96" xfId="1" applyFont="1" applyFill="1" applyBorder="1" applyAlignment="1" applyProtection="1">
      <alignment horizontal="center" vertical="center"/>
      <protection hidden="1"/>
    </xf>
    <xf numFmtId="176" fontId="156" fillId="15" borderId="94" xfId="1" applyFont="1" applyFill="1" applyBorder="1" applyAlignment="1" applyProtection="1">
      <alignment horizontal="center" vertical="center"/>
      <protection hidden="1"/>
    </xf>
    <xf numFmtId="0" fontId="243" fillId="32" borderId="19" xfId="0" applyFont="1" applyFill="1" applyBorder="1" applyAlignment="1" applyProtection="1">
      <alignment horizontal="center" vertical="center"/>
      <protection hidden="1"/>
    </xf>
    <xf numFmtId="176" fontId="32" fillId="0" borderId="118" xfId="1" applyFont="1" applyFill="1" applyBorder="1" applyAlignment="1" applyProtection="1">
      <alignment horizontal="center" vertical="center"/>
      <protection locked="0"/>
    </xf>
    <xf numFmtId="176" fontId="32" fillId="0" borderId="123" xfId="1" applyFont="1" applyFill="1" applyBorder="1" applyAlignment="1" applyProtection="1">
      <alignment horizontal="center" vertical="center"/>
      <protection locked="0"/>
    </xf>
    <xf numFmtId="176" fontId="154" fillId="15" borderId="58" xfId="1" applyFont="1" applyFill="1" applyBorder="1" applyAlignment="1" applyProtection="1">
      <alignment horizontal="right" vertical="center"/>
      <protection hidden="1"/>
    </xf>
    <xf numFmtId="0" fontId="126" fillId="0" borderId="0" xfId="0" applyFont="1" applyAlignment="1" applyProtection="1">
      <alignment horizontal="center" vertical="center"/>
      <protection hidden="1"/>
    </xf>
    <xf numFmtId="0" fontId="126" fillId="0" borderId="56" xfId="0" applyFont="1" applyBorder="1" applyAlignment="1" applyProtection="1">
      <alignment horizontal="center" vertical="center"/>
      <protection hidden="1"/>
    </xf>
    <xf numFmtId="0" fontId="154" fillId="0" borderId="119" xfId="0" applyFont="1" applyBorder="1" applyAlignment="1" applyProtection="1">
      <alignment horizontal="center" vertical="center"/>
      <protection hidden="1"/>
    </xf>
    <xf numFmtId="0" fontId="154" fillId="0" borderId="194" xfId="0" applyFont="1" applyBorder="1" applyAlignment="1" applyProtection="1">
      <alignment horizontal="center" vertical="center"/>
      <protection hidden="1"/>
    </xf>
    <xf numFmtId="176" fontId="160" fillId="0" borderId="120" xfId="1" applyFont="1" applyFill="1" applyBorder="1" applyAlignment="1" applyProtection="1">
      <alignment horizontal="left" vertical="center"/>
      <protection hidden="1"/>
    </xf>
    <xf numFmtId="0" fontId="155" fillId="15" borderId="0" xfId="1" applyNumberFormat="1" applyFont="1" applyFill="1" applyBorder="1" applyAlignment="1" applyProtection="1">
      <alignment horizontal="center" vertical="center"/>
      <protection hidden="1"/>
    </xf>
    <xf numFmtId="176" fontId="155" fillId="15" borderId="0" xfId="1" applyFont="1" applyFill="1" applyBorder="1" applyAlignment="1" applyProtection="1">
      <alignment horizontal="center" vertical="center"/>
      <protection hidden="1"/>
    </xf>
    <xf numFmtId="176" fontId="160" fillId="15" borderId="94" xfId="1" applyFont="1" applyFill="1" applyBorder="1" applyAlignment="1" applyProtection="1">
      <alignment horizontal="center" vertical="center"/>
      <protection hidden="1"/>
    </xf>
    <xf numFmtId="176" fontId="126" fillId="0" borderId="120" xfId="1" applyFont="1" applyFill="1" applyBorder="1" applyAlignment="1" applyProtection="1">
      <alignment horizontal="left" vertical="center"/>
      <protection hidden="1"/>
    </xf>
    <xf numFmtId="181" fontId="155" fillId="0" borderId="0" xfId="1" applyNumberFormat="1" applyFont="1" applyFill="1" applyBorder="1" applyAlignment="1" applyProtection="1">
      <alignment horizontal="center" vertical="center"/>
      <protection hidden="1"/>
    </xf>
    <xf numFmtId="176" fontId="155" fillId="0" borderId="100" xfId="1" applyFont="1" applyFill="1" applyBorder="1" applyAlignment="1" applyProtection="1">
      <alignment horizontal="left" vertical="center"/>
      <protection hidden="1"/>
    </xf>
    <xf numFmtId="176" fontId="126" fillId="0" borderId="94" xfId="1" applyFont="1" applyFill="1" applyBorder="1" applyAlignment="1" applyProtection="1">
      <alignment horizontal="center" vertical="center"/>
      <protection hidden="1"/>
    </xf>
    <xf numFmtId="0" fontId="270" fillId="33" borderId="13" xfId="0" applyFont="1" applyFill="1" applyBorder="1" applyAlignment="1" applyProtection="1">
      <alignment horizontal="center" vertical="center" wrapText="1"/>
      <protection locked="0"/>
    </xf>
    <xf numFmtId="0" fontId="270" fillId="33" borderId="88" xfId="0" applyFont="1" applyFill="1" applyBorder="1" applyAlignment="1" applyProtection="1">
      <alignment horizontal="center" vertical="center"/>
      <protection locked="0"/>
    </xf>
    <xf numFmtId="176" fontId="156" fillId="0" borderId="209" xfId="1" applyFont="1" applyFill="1" applyBorder="1" applyAlignment="1" applyProtection="1">
      <alignment horizontal="center" vertical="center"/>
      <protection hidden="1"/>
    </xf>
    <xf numFmtId="181" fontId="157" fillId="12" borderId="15" xfId="3" applyNumberFormat="1" applyFont="1" applyFill="1" applyBorder="1" applyAlignment="1" applyProtection="1">
      <alignment horizontal="center" vertical="center"/>
    </xf>
    <xf numFmtId="0" fontId="270" fillId="33" borderId="168" xfId="0" applyFont="1" applyFill="1" applyBorder="1" applyAlignment="1" applyProtection="1">
      <alignment horizontal="center" vertical="center" wrapText="1"/>
      <protection locked="0"/>
    </xf>
    <xf numFmtId="0" fontId="270" fillId="33" borderId="227" xfId="0" applyFont="1" applyFill="1" applyBorder="1" applyAlignment="1" applyProtection="1">
      <alignment horizontal="center" vertical="center" wrapText="1"/>
      <protection locked="0"/>
    </xf>
    <xf numFmtId="181" fontId="155" fillId="0" borderId="116" xfId="1" applyNumberFormat="1" applyFont="1" applyFill="1" applyBorder="1" applyAlignment="1" applyProtection="1">
      <alignment horizontal="center" vertical="center"/>
      <protection hidden="1"/>
    </xf>
    <xf numFmtId="176" fontId="155" fillId="0" borderId="116" xfId="1" applyFont="1" applyFill="1" applyBorder="1" applyAlignment="1" applyProtection="1">
      <alignment horizontal="left" vertical="center"/>
      <protection hidden="1"/>
    </xf>
    <xf numFmtId="176" fontId="154" fillId="0" borderId="131" xfId="1" applyFont="1" applyFill="1" applyBorder="1" applyAlignment="1" applyProtection="1">
      <alignment horizontal="right" vertical="center" shrinkToFit="1"/>
      <protection hidden="1"/>
    </xf>
    <xf numFmtId="176" fontId="156" fillId="0" borderId="128" xfId="1" applyFont="1" applyFill="1" applyBorder="1" applyAlignment="1" applyProtection="1">
      <alignment horizontal="center" vertical="center"/>
      <protection hidden="1"/>
    </xf>
    <xf numFmtId="0" fontId="154" fillId="0" borderId="130" xfId="0" applyFont="1" applyBorder="1" applyAlignment="1" applyProtection="1">
      <alignment horizontal="center" vertical="center"/>
      <protection hidden="1"/>
    </xf>
    <xf numFmtId="0" fontId="154" fillId="0" borderId="128" xfId="0" applyFont="1" applyBorder="1" applyAlignment="1" applyProtection="1">
      <alignment horizontal="center" vertical="center"/>
      <protection hidden="1"/>
    </xf>
    <xf numFmtId="0" fontId="154" fillId="0" borderId="196" xfId="0" applyFont="1" applyBorder="1" applyAlignment="1" applyProtection="1">
      <alignment horizontal="center" vertical="center"/>
      <protection hidden="1"/>
    </xf>
    <xf numFmtId="9" fontId="155" fillId="0" borderId="128" xfId="1" applyNumberFormat="1" applyFont="1" applyFill="1" applyBorder="1" applyAlignment="1" applyProtection="1">
      <alignment horizontal="center" vertical="center"/>
      <protection hidden="1"/>
    </xf>
    <xf numFmtId="176" fontId="158" fillId="12" borderId="15" xfId="1" applyFont="1" applyFill="1" applyBorder="1" applyAlignment="1" applyProtection="1">
      <alignment horizontal="center" vertical="center"/>
    </xf>
    <xf numFmtId="176" fontId="158" fillId="12" borderId="15" xfId="3" applyNumberFormat="1" applyFont="1" applyFill="1" applyBorder="1" applyAlignment="1" applyProtection="1">
      <alignment horizontal="center" vertical="center"/>
    </xf>
    <xf numFmtId="0" fontId="158" fillId="12" borderId="15" xfId="0" applyFont="1" applyFill="1" applyBorder="1" applyAlignment="1">
      <alignment horizontal="left" vertical="center"/>
    </xf>
    <xf numFmtId="0" fontId="135" fillId="0" borderId="100" xfId="0" applyFont="1" applyBorder="1" applyAlignment="1" applyProtection="1">
      <alignment horizontal="center" vertical="center"/>
      <protection hidden="1"/>
    </xf>
    <xf numFmtId="0" fontId="158" fillId="12" borderId="52" xfId="0" applyFont="1" applyFill="1" applyBorder="1" applyAlignment="1">
      <alignment horizontal="left" vertical="center"/>
    </xf>
    <xf numFmtId="0" fontId="158" fillId="12" borderId="51" xfId="0" applyFont="1" applyFill="1" applyBorder="1" applyAlignment="1">
      <alignment horizontal="left" vertical="center"/>
    </xf>
    <xf numFmtId="0" fontId="119" fillId="0" borderId="94" xfId="0" applyFont="1" applyBorder="1" applyAlignment="1" applyProtection="1">
      <alignment horizontal="center" vertical="center"/>
      <protection hidden="1"/>
    </xf>
    <xf numFmtId="0" fontId="119" fillId="15" borderId="94" xfId="0" applyFont="1" applyFill="1" applyBorder="1" applyAlignment="1" applyProtection="1">
      <alignment horizontal="center" vertical="center"/>
      <protection hidden="1"/>
    </xf>
    <xf numFmtId="0" fontId="158" fillId="12" borderId="15" xfId="0" applyFont="1" applyFill="1" applyBorder="1" applyAlignment="1" applyProtection="1">
      <alignment horizontal="right" vertical="center"/>
      <protection locked="0"/>
    </xf>
    <xf numFmtId="176" fontId="129" fillId="12" borderId="15" xfId="1" applyFont="1" applyFill="1" applyBorder="1" applyAlignment="1" applyProtection="1">
      <alignment horizontal="center" vertical="center" shrinkToFit="1"/>
    </xf>
    <xf numFmtId="176" fontId="158" fillId="12" borderId="18" xfId="1" applyFont="1" applyFill="1" applyBorder="1" applyAlignment="1" applyProtection="1">
      <alignment horizontal="center" vertical="center" shrinkToFit="1"/>
    </xf>
    <xf numFmtId="176" fontId="158" fillId="12" borderId="51" xfId="1" applyFont="1" applyFill="1" applyBorder="1" applyAlignment="1" applyProtection="1">
      <alignment horizontal="center" vertical="center" shrinkToFit="1"/>
    </xf>
    <xf numFmtId="0" fontId="158" fillId="12" borderId="106" xfId="0" applyFont="1" applyFill="1" applyBorder="1" applyAlignment="1">
      <alignment horizontal="center" vertical="center"/>
    </xf>
    <xf numFmtId="0" fontId="158" fillId="12" borderId="70" xfId="0" applyFont="1" applyFill="1" applyBorder="1" applyAlignment="1">
      <alignment horizontal="center" vertical="center"/>
    </xf>
    <xf numFmtId="0" fontId="243" fillId="32" borderId="23" xfId="0" applyFont="1" applyFill="1" applyBorder="1" applyAlignment="1" applyProtection="1">
      <alignment horizontal="center" vertical="center"/>
      <protection hidden="1"/>
    </xf>
    <xf numFmtId="10" fontId="158" fillId="12" borderId="15" xfId="3" applyNumberFormat="1" applyFont="1" applyFill="1" applyBorder="1" applyAlignment="1" applyProtection="1">
      <alignment horizontal="center" vertical="center"/>
    </xf>
    <xf numFmtId="0" fontId="119" fillId="0" borderId="94" xfId="0" applyFont="1" applyBorder="1" applyAlignment="1" applyProtection="1">
      <alignment horizontal="center" vertical="center" shrinkToFit="1"/>
      <protection hidden="1"/>
    </xf>
    <xf numFmtId="0" fontId="118" fillId="0" borderId="9" xfId="0" applyFont="1" applyBorder="1" applyAlignment="1" applyProtection="1">
      <alignment horizontal="center" vertical="center"/>
      <protection hidden="1"/>
    </xf>
    <xf numFmtId="0" fontId="118" fillId="0" borderId="100" xfId="0" applyFont="1" applyBorder="1" applyAlignment="1" applyProtection="1">
      <alignment horizontal="center" vertical="center"/>
      <protection hidden="1"/>
    </xf>
    <xf numFmtId="0" fontId="118" fillId="0" borderId="9" xfId="0" applyFont="1" applyBorder="1" applyAlignment="1" applyProtection="1">
      <alignment horizontal="left" vertical="center"/>
      <protection hidden="1"/>
    </xf>
    <xf numFmtId="0" fontId="118" fillId="0" borderId="100" xfId="0" applyFont="1" applyBorder="1" applyAlignment="1" applyProtection="1">
      <alignment horizontal="left" vertical="center"/>
      <protection hidden="1"/>
    </xf>
    <xf numFmtId="0" fontId="135" fillId="0" borderId="85" xfId="0" applyFont="1" applyBorder="1" applyAlignment="1" applyProtection="1">
      <alignment horizontal="center" vertical="center"/>
      <protection hidden="1"/>
    </xf>
    <xf numFmtId="0" fontId="119" fillId="0" borderId="65" xfId="0" applyFont="1" applyBorder="1" applyAlignment="1" applyProtection="1">
      <alignment horizontal="center" vertical="center" wrapText="1"/>
      <protection hidden="1"/>
    </xf>
    <xf numFmtId="0" fontId="119" fillId="0" borderId="103" xfId="0" applyFont="1" applyBorder="1" applyAlignment="1" applyProtection="1">
      <alignment horizontal="center" vertical="center"/>
      <protection hidden="1"/>
    </xf>
    <xf numFmtId="0" fontId="119" fillId="0" borderId="150" xfId="0" applyFont="1" applyBorder="1" applyAlignment="1" applyProtection="1">
      <alignment horizontal="center" vertical="center"/>
      <protection hidden="1"/>
    </xf>
    <xf numFmtId="0" fontId="119" fillId="0" borderId="149" xfId="0" applyFont="1" applyBorder="1" applyAlignment="1" applyProtection="1">
      <alignment horizontal="center" vertical="center"/>
      <protection hidden="1"/>
    </xf>
    <xf numFmtId="0" fontId="100" fillId="11" borderId="15" xfId="0" applyFont="1" applyFill="1" applyBorder="1" applyAlignment="1">
      <alignment horizontal="center" vertical="center"/>
    </xf>
    <xf numFmtId="0" fontId="100" fillId="20" borderId="15" xfId="0" applyFont="1" applyFill="1" applyBorder="1" applyAlignment="1">
      <alignment horizontal="center" vertical="center" wrapText="1"/>
    </xf>
    <xf numFmtId="0" fontId="100" fillId="20" borderId="15" xfId="0" applyFont="1" applyFill="1" applyBorder="1" applyAlignment="1">
      <alignment horizontal="center" vertical="center"/>
    </xf>
    <xf numFmtId="0" fontId="97" fillId="15" borderId="15" xfId="0" applyFont="1" applyFill="1" applyBorder="1" applyAlignment="1">
      <alignment horizontal="center" vertical="center" wrapText="1"/>
    </xf>
    <xf numFmtId="0" fontId="97" fillId="15" borderId="15" xfId="0" applyFont="1" applyFill="1" applyBorder="1" applyAlignment="1">
      <alignment horizontal="center" vertical="center"/>
    </xf>
    <xf numFmtId="0" fontId="31" fillId="0" borderId="134" xfId="0" applyFont="1" applyBorder="1" applyAlignment="1" applyProtection="1">
      <alignment horizontal="center" vertical="center"/>
      <protection locked="0"/>
    </xf>
    <xf numFmtId="0" fontId="31" fillId="0" borderId="135" xfId="0" applyFont="1" applyBorder="1" applyAlignment="1" applyProtection="1">
      <alignment horizontal="center" vertical="center"/>
      <protection locked="0"/>
    </xf>
    <xf numFmtId="176" fontId="158" fillId="0" borderId="15" xfId="1" applyFont="1" applyFill="1" applyBorder="1" applyAlignment="1" applyProtection="1">
      <alignment horizontal="center" vertical="center"/>
      <protection locked="0"/>
    </xf>
    <xf numFmtId="176" fontId="164" fillId="0" borderId="52" xfId="1" applyFont="1" applyFill="1" applyBorder="1" applyAlignment="1" applyProtection="1">
      <alignment horizontal="center" vertical="center" shrinkToFit="1"/>
      <protection hidden="1"/>
    </xf>
    <xf numFmtId="176" fontId="162" fillId="0" borderId="53" xfId="1" applyFont="1" applyFill="1" applyBorder="1" applyAlignment="1" applyProtection="1">
      <alignment horizontal="left" vertical="center"/>
      <protection hidden="1"/>
    </xf>
    <xf numFmtId="0" fontId="126" fillId="0" borderId="85" xfId="0" applyFont="1" applyBorder="1" applyAlignment="1" applyProtection="1">
      <alignment horizontal="center" vertical="center" shrinkToFit="1"/>
      <protection hidden="1"/>
    </xf>
    <xf numFmtId="0" fontId="32" fillId="7" borderId="6" xfId="0" applyFont="1" applyFill="1" applyBorder="1" applyAlignment="1">
      <alignment horizontal="center" vertical="center"/>
    </xf>
    <xf numFmtId="0" fontId="32" fillId="7" borderId="8" xfId="0" applyFont="1" applyFill="1" applyBorder="1" applyAlignment="1">
      <alignment horizontal="center" vertical="center"/>
    </xf>
    <xf numFmtId="0" fontId="123" fillId="0" borderId="11" xfId="0" applyFont="1" applyBorder="1" applyAlignment="1" applyProtection="1">
      <alignment horizontal="center" vertical="center"/>
      <protection locked="0"/>
    </xf>
    <xf numFmtId="0" fontId="123" fillId="0" borderId="12" xfId="0" applyFont="1" applyBorder="1" applyAlignment="1" applyProtection="1">
      <alignment horizontal="center" vertical="center"/>
      <protection locked="0"/>
    </xf>
    <xf numFmtId="0" fontId="119" fillId="0" borderId="0" xfId="0" applyFont="1" applyAlignment="1" applyProtection="1">
      <alignment horizontal="left" vertical="center"/>
      <protection hidden="1"/>
    </xf>
    <xf numFmtId="176" fontId="155" fillId="0" borderId="198" xfId="1" applyFont="1" applyFill="1" applyBorder="1" applyAlignment="1" applyProtection="1">
      <alignment horizontal="center" vertical="center"/>
      <protection hidden="1"/>
    </xf>
    <xf numFmtId="176" fontId="155" fillId="0" borderId="53" xfId="1" applyFont="1" applyFill="1" applyBorder="1" applyAlignment="1" applyProtection="1">
      <alignment horizontal="center" vertical="center"/>
      <protection hidden="1"/>
    </xf>
    <xf numFmtId="193" fontId="158" fillId="12" borderId="15" xfId="3" applyNumberFormat="1" applyFont="1" applyFill="1" applyBorder="1" applyAlignment="1" applyProtection="1">
      <alignment horizontal="center" vertical="center"/>
    </xf>
    <xf numFmtId="176" fontId="156" fillId="0" borderId="190" xfId="1" applyFont="1" applyFill="1" applyBorder="1" applyAlignment="1" applyProtection="1">
      <alignment horizontal="center" vertical="center"/>
      <protection hidden="1"/>
    </xf>
    <xf numFmtId="176" fontId="156" fillId="0" borderId="119" xfId="1" applyFont="1" applyFill="1" applyBorder="1" applyAlignment="1" applyProtection="1">
      <alignment horizontal="center" vertical="center"/>
      <protection hidden="1"/>
    </xf>
    <xf numFmtId="176" fontId="156" fillId="0" borderId="124" xfId="1" applyFont="1" applyFill="1" applyBorder="1" applyAlignment="1" applyProtection="1">
      <alignment horizontal="center" vertical="center"/>
      <protection hidden="1"/>
    </xf>
    <xf numFmtId="176" fontId="156" fillId="0" borderId="207" xfId="1" applyFont="1" applyFill="1" applyBorder="1" applyAlignment="1" applyProtection="1">
      <alignment horizontal="center" vertical="center"/>
      <protection hidden="1"/>
    </xf>
    <xf numFmtId="176" fontId="129" fillId="12" borderId="15" xfId="1" applyFont="1" applyFill="1" applyBorder="1" applyAlignment="1" applyProtection="1">
      <alignment horizontal="center" vertical="center"/>
    </xf>
    <xf numFmtId="176" fontId="160" fillId="0" borderId="94" xfId="1" applyFont="1" applyFill="1" applyBorder="1" applyAlignment="1" applyProtection="1">
      <alignment horizontal="center" vertical="center"/>
      <protection hidden="1"/>
    </xf>
    <xf numFmtId="176" fontId="160" fillId="0" borderId="96" xfId="1" applyFont="1" applyFill="1" applyBorder="1" applyAlignment="1" applyProtection="1">
      <alignment horizontal="center" vertical="center"/>
      <protection hidden="1"/>
    </xf>
    <xf numFmtId="176" fontId="154" fillId="0" borderId="192" xfId="1" applyFont="1" applyFill="1" applyBorder="1" applyAlignment="1" applyProtection="1">
      <alignment horizontal="right" vertical="center" shrinkToFit="1"/>
      <protection hidden="1"/>
    </xf>
    <xf numFmtId="176" fontId="154" fillId="0" borderId="116" xfId="1" applyFont="1" applyFill="1" applyBorder="1" applyAlignment="1" applyProtection="1">
      <alignment horizontal="right" vertical="center" shrinkToFit="1"/>
      <protection hidden="1"/>
    </xf>
    <xf numFmtId="0" fontId="31" fillId="0" borderId="129" xfId="0" applyFont="1" applyBorder="1" applyAlignment="1" applyProtection="1">
      <alignment horizontal="center" vertical="center"/>
      <protection locked="0"/>
    </xf>
    <xf numFmtId="0" fontId="31" fillId="0" borderId="122" xfId="0" applyFont="1" applyBorder="1" applyAlignment="1" applyProtection="1">
      <alignment horizontal="center" vertical="center"/>
      <protection locked="0"/>
    </xf>
    <xf numFmtId="176" fontId="155" fillId="0" borderId="195" xfId="1" applyFont="1" applyFill="1" applyBorder="1" applyAlignment="1" applyProtection="1">
      <alignment horizontal="center" vertical="center"/>
      <protection hidden="1"/>
    </xf>
    <xf numFmtId="176" fontId="155" fillId="0" borderId="128" xfId="1" applyFont="1" applyFill="1" applyBorder="1" applyAlignment="1" applyProtection="1">
      <alignment horizontal="center" vertical="center"/>
      <protection hidden="1"/>
    </xf>
    <xf numFmtId="177" fontId="119" fillId="0" borderId="94" xfId="1" applyNumberFormat="1" applyFont="1" applyBorder="1" applyAlignment="1" applyProtection="1">
      <alignment horizontal="center" vertical="center" shrinkToFit="1"/>
      <protection hidden="1"/>
    </xf>
    <xf numFmtId="0" fontId="119" fillId="0" borderId="107" xfId="0" applyFont="1" applyBorder="1" applyAlignment="1" applyProtection="1">
      <alignment horizontal="center" vertical="center"/>
      <protection hidden="1"/>
    </xf>
    <xf numFmtId="0" fontId="32" fillId="9" borderId="41" xfId="0" applyFont="1" applyFill="1" applyBorder="1" applyAlignment="1">
      <alignment horizontal="center" vertical="center"/>
    </xf>
    <xf numFmtId="0" fontId="32" fillId="9" borderId="10" xfId="0" applyFont="1" applyFill="1" applyBorder="1" applyAlignment="1">
      <alignment horizontal="center" vertical="center"/>
    </xf>
    <xf numFmtId="0" fontId="31" fillId="0" borderId="67" xfId="0" applyFont="1" applyBorder="1" applyAlignment="1" applyProtection="1">
      <alignment horizontal="center" vertical="center"/>
      <protection locked="0"/>
    </xf>
    <xf numFmtId="0" fontId="31" fillId="0" borderId="154" xfId="0" applyFont="1" applyBorder="1" applyAlignment="1" applyProtection="1">
      <alignment horizontal="center" vertical="center"/>
      <protection locked="0"/>
    </xf>
    <xf numFmtId="176" fontId="165" fillId="0" borderId="52" xfId="1" applyFont="1" applyFill="1" applyBorder="1" applyAlignment="1" applyProtection="1">
      <alignment horizontal="center" vertical="center" shrinkToFit="1"/>
      <protection hidden="1"/>
    </xf>
    <xf numFmtId="0" fontId="163" fillId="0" borderId="52" xfId="0" applyFont="1" applyBorder="1" applyAlignment="1" applyProtection="1">
      <alignment horizontal="center" vertical="center" shrinkToFit="1"/>
      <protection hidden="1"/>
    </xf>
    <xf numFmtId="0" fontId="119" fillId="0" borderId="9" xfId="0" applyFont="1" applyBorder="1" applyAlignment="1" applyProtection="1">
      <alignment horizontal="center" vertical="center" wrapText="1" shrinkToFit="1"/>
      <protection hidden="1"/>
    </xf>
    <xf numFmtId="0" fontId="119" fillId="0" borderId="213" xfId="0" applyFont="1" applyBorder="1" applyAlignment="1" applyProtection="1">
      <alignment horizontal="center" vertical="center" shrinkToFit="1"/>
      <protection hidden="1"/>
    </xf>
    <xf numFmtId="0" fontId="119" fillId="0" borderId="100" xfId="0" applyFont="1" applyBorder="1" applyAlignment="1" applyProtection="1">
      <alignment horizontal="center" vertical="center" shrinkToFit="1"/>
      <protection hidden="1"/>
    </xf>
    <xf numFmtId="0" fontId="119" fillId="0" borderId="101" xfId="0" applyFont="1" applyBorder="1" applyAlignment="1" applyProtection="1">
      <alignment horizontal="center" vertical="center" shrinkToFit="1"/>
      <protection hidden="1"/>
    </xf>
    <xf numFmtId="0" fontId="119" fillId="0" borderId="4" xfId="0" applyFont="1" applyBorder="1" applyAlignment="1" applyProtection="1">
      <alignment horizontal="center" vertical="center" shrinkToFit="1"/>
      <protection hidden="1"/>
    </xf>
    <xf numFmtId="0" fontId="119" fillId="0" borderId="107" xfId="0" applyFont="1" applyBorder="1" applyAlignment="1" applyProtection="1">
      <alignment horizontal="center" vertical="center" shrinkToFit="1"/>
      <protection hidden="1"/>
    </xf>
    <xf numFmtId="0" fontId="119" fillId="15" borderId="107" xfId="0" applyFont="1" applyFill="1" applyBorder="1" applyAlignment="1" applyProtection="1">
      <alignment horizontal="center" vertical="center"/>
      <protection hidden="1"/>
    </xf>
    <xf numFmtId="193" fontId="158" fillId="0" borderId="15" xfId="3" applyNumberFormat="1" applyFont="1" applyFill="1" applyBorder="1" applyAlignment="1" applyProtection="1">
      <alignment horizontal="center" vertical="center"/>
      <protection locked="0"/>
    </xf>
    <xf numFmtId="0" fontId="119" fillId="0" borderId="94" xfId="0" applyFont="1" applyBorder="1" applyAlignment="1" applyProtection="1">
      <alignment horizontal="left" vertical="center" shrinkToFit="1"/>
      <protection hidden="1"/>
    </xf>
    <xf numFmtId="177" fontId="119" fillId="0" borderId="94" xfId="3" applyNumberFormat="1" applyFont="1" applyBorder="1" applyAlignment="1" applyProtection="1">
      <alignment horizontal="center" vertical="center"/>
      <protection hidden="1"/>
    </xf>
    <xf numFmtId="177" fontId="119" fillId="0" borderId="4" xfId="3" applyNumberFormat="1" applyFont="1" applyBorder="1" applyAlignment="1" applyProtection="1">
      <alignment horizontal="center" vertical="center" shrinkToFit="1"/>
      <protection hidden="1"/>
    </xf>
    <xf numFmtId="0" fontId="31" fillId="0" borderId="141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/>
      <protection locked="0"/>
    </xf>
    <xf numFmtId="0" fontId="31" fillId="0" borderId="153" xfId="0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7" fillId="0" borderId="4" xfId="0" applyFont="1" applyBorder="1" applyAlignment="1" applyProtection="1">
      <alignment horizontal="center" vertical="center"/>
      <protection hidden="1"/>
    </xf>
    <xf numFmtId="176" fontId="128" fillId="0" borderId="47" xfId="45" applyNumberFormat="1" applyFont="1" applyFill="1" applyBorder="1" applyAlignment="1" applyProtection="1">
      <alignment horizontal="center" vertical="center"/>
      <protection locked="0"/>
    </xf>
    <xf numFmtId="9" fontId="156" fillId="0" borderId="119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76" fontId="156" fillId="0" borderId="117" xfId="1" applyFont="1" applyFill="1" applyBorder="1" applyAlignment="1" applyProtection="1">
      <alignment horizontal="right" vertical="center"/>
      <protection hidden="1"/>
    </xf>
    <xf numFmtId="176" fontId="155" fillId="0" borderId="192" xfId="1" applyFont="1" applyFill="1" applyBorder="1" applyAlignment="1" applyProtection="1">
      <alignment horizontal="center" vertical="center"/>
      <protection hidden="1"/>
    </xf>
    <xf numFmtId="176" fontId="155" fillId="0" borderId="116" xfId="1" applyFont="1" applyFill="1" applyBorder="1" applyAlignment="1" applyProtection="1">
      <alignment horizontal="center" vertical="center"/>
      <protection hidden="1"/>
    </xf>
    <xf numFmtId="176" fontId="156" fillId="0" borderId="116" xfId="1" applyFont="1" applyFill="1" applyBorder="1" applyAlignment="1" applyProtection="1">
      <alignment horizontal="right" vertical="center"/>
      <protection hidden="1"/>
    </xf>
    <xf numFmtId="181" fontId="129" fillId="12" borderId="15" xfId="3" applyNumberFormat="1" applyFont="1" applyFill="1" applyBorder="1" applyAlignment="1" applyProtection="1">
      <alignment horizontal="center" vertical="center"/>
    </xf>
    <xf numFmtId="176" fontId="135" fillId="0" borderId="15" xfId="1" applyFont="1" applyFill="1" applyBorder="1" applyAlignment="1" applyProtection="1">
      <alignment horizontal="center" vertical="center"/>
      <protection locked="0" hidden="1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5" borderId="15" xfId="0" applyFont="1" applyFill="1" applyBorder="1" applyAlignment="1" applyProtection="1">
      <alignment horizontal="center" vertical="center"/>
      <protection locked="0"/>
    </xf>
    <xf numFmtId="0" fontId="122" fillId="0" borderId="4" xfId="0" applyFont="1" applyBorder="1" applyAlignment="1" applyProtection="1">
      <alignment horizontal="left" vertical="center"/>
      <protection hidden="1"/>
    </xf>
    <xf numFmtId="0" fontId="129" fillId="12" borderId="51" xfId="0" applyFont="1" applyFill="1" applyBorder="1" applyAlignment="1">
      <alignment horizontal="left" vertical="center" shrinkToFit="1"/>
    </xf>
    <xf numFmtId="0" fontId="129" fillId="12" borderId="15" xfId="0" applyFont="1" applyFill="1" applyBorder="1" applyAlignment="1">
      <alignment horizontal="left" vertical="center" shrinkToFit="1"/>
    </xf>
    <xf numFmtId="10" fontId="155" fillId="0" borderId="120" xfId="1" applyNumberFormat="1" applyFont="1" applyFill="1" applyBorder="1" applyAlignment="1" applyProtection="1">
      <alignment horizontal="center" vertical="center"/>
      <protection hidden="1"/>
    </xf>
    <xf numFmtId="0" fontId="119" fillId="0" borderId="109" xfId="0" applyFont="1" applyBorder="1" applyAlignment="1" applyProtection="1">
      <alignment horizontal="left" vertical="center" shrinkToFit="1"/>
      <protection hidden="1"/>
    </xf>
    <xf numFmtId="0" fontId="119" fillId="0" borderId="107" xfId="0" applyFont="1" applyBorder="1" applyAlignment="1" applyProtection="1">
      <alignment horizontal="left" vertical="center" shrinkToFit="1"/>
      <protection hidden="1"/>
    </xf>
    <xf numFmtId="0" fontId="119" fillId="0" borderId="108" xfId="0" applyFont="1" applyBorder="1" applyAlignment="1" applyProtection="1">
      <alignment horizontal="left" vertical="center" shrinkToFit="1"/>
      <protection hidden="1"/>
    </xf>
    <xf numFmtId="0" fontId="123" fillId="6" borderId="59" xfId="0" applyFont="1" applyFill="1" applyBorder="1" applyAlignment="1" applyProtection="1">
      <alignment horizontal="right" vertical="center"/>
      <protection locked="0"/>
    </xf>
    <xf numFmtId="0" fontId="123" fillId="6" borderId="26" xfId="0" applyFont="1" applyFill="1" applyBorder="1" applyAlignment="1" applyProtection="1">
      <alignment horizontal="right" vertical="center"/>
      <protection locked="0"/>
    </xf>
    <xf numFmtId="0" fontId="32" fillId="6" borderId="41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22" fillId="7" borderId="15" xfId="0" applyFont="1" applyFill="1" applyBorder="1" applyAlignment="1" applyProtection="1">
      <alignment horizontal="right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129" fillId="20" borderId="130" xfId="0" applyFont="1" applyFill="1" applyBorder="1" applyAlignment="1">
      <alignment horizontal="center" vertical="center"/>
    </xf>
    <xf numFmtId="0" fontId="129" fillId="20" borderId="106" xfId="0" applyFont="1" applyFill="1" applyBorder="1" applyAlignment="1">
      <alignment horizontal="center" vertical="center"/>
    </xf>
    <xf numFmtId="181" fontId="129" fillId="12" borderId="22" xfId="3" applyNumberFormat="1" applyFont="1" applyFill="1" applyBorder="1" applyAlignment="1" applyProtection="1">
      <alignment horizontal="center" vertical="center"/>
    </xf>
    <xf numFmtId="176" fontId="115" fillId="12" borderId="6" xfId="1" applyFont="1" applyFill="1" applyBorder="1" applyAlignment="1" applyProtection="1">
      <alignment horizontal="center" vertical="center" shrinkToFit="1"/>
    </xf>
    <xf numFmtId="176" fontId="115" fillId="12" borderId="7" xfId="1" applyFont="1" applyFill="1" applyBorder="1" applyAlignment="1" applyProtection="1">
      <alignment horizontal="center" vertical="center" shrinkToFit="1"/>
    </xf>
    <xf numFmtId="176" fontId="115" fillId="12" borderId="8" xfId="1" applyFont="1" applyFill="1" applyBorder="1" applyAlignment="1" applyProtection="1">
      <alignment horizontal="center" vertical="center" shrinkToFit="1"/>
    </xf>
    <xf numFmtId="0" fontId="126" fillId="0" borderId="125" xfId="0" applyFont="1" applyBorder="1" applyAlignment="1" applyProtection="1">
      <alignment horizontal="center" vertical="center"/>
      <protection hidden="1"/>
    </xf>
    <xf numFmtId="0" fontId="126" fillId="0" borderId="116" xfId="0" applyFont="1" applyBorder="1" applyAlignment="1" applyProtection="1">
      <alignment horizontal="center" vertical="center"/>
      <protection hidden="1"/>
    </xf>
    <xf numFmtId="0" fontId="126" fillId="0" borderId="193" xfId="0" applyFont="1" applyBorder="1" applyAlignment="1" applyProtection="1">
      <alignment horizontal="center" vertical="center"/>
      <protection hidden="1"/>
    </xf>
    <xf numFmtId="181" fontId="155" fillId="0" borderId="192" xfId="1" applyNumberFormat="1" applyFont="1" applyFill="1" applyBorder="1" applyAlignment="1" applyProtection="1">
      <alignment horizontal="center" vertical="center"/>
      <protection hidden="1"/>
    </xf>
    <xf numFmtId="181" fontId="155" fillId="0" borderId="190" xfId="1" applyNumberFormat="1" applyFont="1" applyFill="1" applyBorder="1" applyAlignment="1" applyProtection="1">
      <alignment horizontal="center" vertical="center"/>
      <protection hidden="1"/>
    </xf>
    <xf numFmtId="181" fontId="155" fillId="0" borderId="119" xfId="1" applyNumberFormat="1" applyFont="1" applyFill="1" applyBorder="1" applyAlignment="1" applyProtection="1">
      <alignment horizontal="center" vertical="center"/>
      <protection hidden="1"/>
    </xf>
    <xf numFmtId="176" fontId="155" fillId="0" borderId="119" xfId="1" applyFont="1" applyFill="1" applyBorder="1" applyAlignment="1" applyProtection="1">
      <alignment horizontal="center" vertical="center"/>
      <protection hidden="1"/>
    </xf>
    <xf numFmtId="0" fontId="142" fillId="0" borderId="107" xfId="0" applyFont="1" applyBorder="1" applyAlignment="1" applyProtection="1">
      <alignment horizontal="center" vertical="center"/>
      <protection hidden="1"/>
    </xf>
    <xf numFmtId="0" fontId="142" fillId="0" borderId="108" xfId="0" applyFont="1" applyBorder="1" applyAlignment="1" applyProtection="1">
      <alignment horizontal="center" vertical="center"/>
      <protection hidden="1"/>
    </xf>
    <xf numFmtId="0" fontId="154" fillId="0" borderId="117" xfId="0" applyFont="1" applyBorder="1" applyAlignment="1" applyProtection="1">
      <alignment horizontal="center" vertical="center"/>
      <protection hidden="1"/>
    </xf>
    <xf numFmtId="0" fontId="154" fillId="0" borderId="203" xfId="0" applyFont="1" applyBorder="1" applyAlignment="1" applyProtection="1">
      <alignment horizontal="center" vertical="center"/>
      <protection hidden="1"/>
    </xf>
    <xf numFmtId="0" fontId="142" fillId="0" borderId="85" xfId="0" applyFont="1" applyBorder="1" applyAlignment="1" applyProtection="1">
      <alignment horizontal="center" vertical="center"/>
      <protection hidden="1"/>
    </xf>
    <xf numFmtId="0" fontId="142" fillId="0" borderId="86" xfId="0" applyFont="1" applyBorder="1" applyAlignment="1" applyProtection="1">
      <alignment horizontal="center" vertical="center"/>
      <protection hidden="1"/>
    </xf>
    <xf numFmtId="176" fontId="135" fillId="0" borderId="15" xfId="1" applyFont="1" applyFill="1" applyBorder="1" applyAlignment="1" applyProtection="1">
      <alignment horizontal="center" vertical="center"/>
      <protection hidden="1"/>
    </xf>
    <xf numFmtId="184" fontId="143" fillId="0" borderId="87" xfId="1" applyNumberFormat="1" applyFont="1" applyFill="1" applyBorder="1" applyAlignment="1" applyProtection="1">
      <alignment horizontal="center" vertical="center" shrinkToFit="1"/>
      <protection hidden="1"/>
    </xf>
    <xf numFmtId="184" fontId="143" fillId="0" borderId="85" xfId="1" applyNumberFormat="1" applyFont="1" applyFill="1" applyBorder="1" applyAlignment="1" applyProtection="1">
      <alignment horizontal="center" vertical="center" shrinkToFit="1"/>
      <protection hidden="1"/>
    </xf>
    <xf numFmtId="0" fontId="119" fillId="0" borderId="85" xfId="0" applyFont="1" applyBorder="1" applyAlignment="1" applyProtection="1">
      <alignment horizontal="center" vertical="center"/>
      <protection locked="0" hidden="1"/>
    </xf>
    <xf numFmtId="184" fontId="131" fillId="0" borderId="85" xfId="1" applyNumberFormat="1" applyFont="1" applyFill="1" applyBorder="1" applyAlignment="1" applyProtection="1">
      <alignment horizontal="center" vertical="center" shrinkToFit="1"/>
      <protection locked="0" hidden="1"/>
    </xf>
    <xf numFmtId="184" fontId="131" fillId="0" borderId="86" xfId="1" applyNumberFormat="1" applyFont="1" applyFill="1" applyBorder="1" applyAlignment="1" applyProtection="1">
      <alignment horizontal="center" vertical="center" shrinkToFit="1"/>
      <protection locked="0" hidden="1"/>
    </xf>
    <xf numFmtId="49" fontId="129" fillId="15" borderId="15" xfId="3" applyNumberFormat="1" applyFont="1" applyFill="1" applyBorder="1" applyAlignment="1" applyProtection="1">
      <alignment horizontal="center" vertical="center" shrinkToFit="1"/>
      <protection locked="0"/>
    </xf>
    <xf numFmtId="0" fontId="150" fillId="0" borderId="9" xfId="0" applyFont="1" applyBorder="1" applyAlignment="1" applyProtection="1">
      <alignment horizontal="center" vertical="center"/>
      <protection hidden="1"/>
    </xf>
    <xf numFmtId="176" fontId="146" fillId="0" borderId="215" xfId="1" applyFont="1" applyFill="1" applyBorder="1" applyAlignment="1" applyProtection="1">
      <alignment horizontal="center" vertical="center" shrinkToFit="1"/>
      <protection hidden="1"/>
    </xf>
    <xf numFmtId="176" fontId="146" fillId="0" borderId="0" xfId="1" applyFont="1" applyFill="1" applyBorder="1" applyAlignment="1" applyProtection="1">
      <alignment horizontal="center" vertical="center" shrinkToFit="1"/>
      <protection hidden="1"/>
    </xf>
    <xf numFmtId="176" fontId="220" fillId="0" borderId="100" xfId="1" applyFont="1" applyFill="1" applyBorder="1" applyAlignment="1" applyProtection="1">
      <alignment horizontal="right" vertical="center"/>
      <protection hidden="1"/>
    </xf>
    <xf numFmtId="176" fontId="220" fillId="0" borderId="101" xfId="1" applyFont="1" applyFill="1" applyBorder="1" applyAlignment="1" applyProtection="1">
      <alignment horizontal="right" vertical="center"/>
      <protection hidden="1"/>
    </xf>
    <xf numFmtId="0" fontId="115" fillId="0" borderId="65" xfId="0" applyFont="1" applyBorder="1" applyAlignment="1">
      <alignment horizontal="center" vertical="center"/>
    </xf>
    <xf numFmtId="0" fontId="115" fillId="0" borderId="102" xfId="0" applyFont="1" applyBorder="1" applyAlignment="1">
      <alignment horizontal="center" vertical="center"/>
    </xf>
    <xf numFmtId="0" fontId="115" fillId="0" borderId="103" xfId="0" applyFont="1" applyBorder="1" applyAlignment="1">
      <alignment horizontal="center" vertical="center"/>
    </xf>
    <xf numFmtId="0" fontId="115" fillId="0" borderId="57" xfId="0" applyFont="1" applyBorder="1" applyAlignment="1">
      <alignment horizontal="center" vertical="center"/>
    </xf>
    <xf numFmtId="0" fontId="115" fillId="0" borderId="100" xfId="0" applyFont="1" applyBorder="1" applyAlignment="1">
      <alignment horizontal="center" vertical="center"/>
    </xf>
    <xf numFmtId="0" fontId="115" fillId="0" borderId="101" xfId="0" applyFont="1" applyBorder="1" applyAlignment="1">
      <alignment horizontal="center" vertical="center"/>
    </xf>
    <xf numFmtId="0" fontId="126" fillId="0" borderId="96" xfId="0" applyFont="1" applyBorder="1" applyAlignment="1" applyProtection="1">
      <alignment horizontal="center" vertical="center"/>
      <protection hidden="1"/>
    </xf>
    <xf numFmtId="0" fontId="126" fillId="0" borderId="94" xfId="0" applyFont="1" applyBorder="1" applyAlignment="1" applyProtection="1">
      <alignment horizontal="center" vertical="center"/>
      <protection hidden="1"/>
    </xf>
    <xf numFmtId="0" fontId="126" fillId="0" borderId="95" xfId="0" applyFont="1" applyBorder="1" applyAlignment="1" applyProtection="1">
      <alignment horizontal="center" vertical="center"/>
      <protection hidden="1"/>
    </xf>
    <xf numFmtId="176" fontId="119" fillId="0" borderId="87" xfId="0" applyNumberFormat="1" applyFont="1" applyBorder="1" applyAlignment="1" applyProtection="1">
      <alignment horizontal="right" vertical="center" shrinkToFit="1"/>
      <protection hidden="1"/>
    </xf>
    <xf numFmtId="0" fontId="119" fillId="0" borderId="85" xfId="0" applyFont="1" applyBorder="1" applyAlignment="1" applyProtection="1">
      <alignment horizontal="right" vertical="center" shrinkToFit="1"/>
      <protection hidden="1"/>
    </xf>
    <xf numFmtId="176" fontId="147" fillId="0" borderId="109" xfId="0" applyNumberFormat="1" applyFont="1" applyBorder="1" applyAlignment="1" applyProtection="1">
      <alignment horizontal="center" vertical="center" shrinkToFit="1"/>
      <protection hidden="1"/>
    </xf>
    <xf numFmtId="176" fontId="147" fillId="0" borderId="107" xfId="0" applyNumberFormat="1" applyFont="1" applyBorder="1" applyAlignment="1" applyProtection="1">
      <alignment horizontal="center" vertical="center" shrinkToFit="1"/>
      <protection hidden="1"/>
    </xf>
    <xf numFmtId="0" fontId="272" fillId="33" borderId="9" xfId="0" applyFont="1" applyFill="1" applyBorder="1" applyAlignment="1" applyProtection="1">
      <alignment horizontal="center" vertical="center" wrapText="1"/>
      <protection locked="0"/>
    </xf>
    <xf numFmtId="0" fontId="272" fillId="33" borderId="0" xfId="0" applyFont="1" applyFill="1" applyAlignment="1" applyProtection="1">
      <alignment horizontal="center" vertical="center" wrapText="1"/>
      <protection locked="0"/>
    </xf>
    <xf numFmtId="0" fontId="272" fillId="33" borderId="4" xfId="0" applyFont="1" applyFill="1" applyBorder="1" applyAlignment="1" applyProtection="1">
      <alignment horizontal="center" vertical="center" wrapText="1"/>
      <protection locked="0"/>
    </xf>
    <xf numFmtId="0" fontId="243" fillId="32" borderId="114" xfId="0" applyFont="1" applyFill="1" applyBorder="1" applyAlignment="1" applyProtection="1">
      <alignment horizontal="center" vertical="center"/>
      <protection hidden="1"/>
    </xf>
    <xf numFmtId="0" fontId="243" fillId="32" borderId="97" xfId="0" applyFont="1" applyFill="1" applyBorder="1" applyAlignment="1" applyProtection="1">
      <alignment horizontal="center" vertical="center"/>
      <protection hidden="1"/>
    </xf>
    <xf numFmtId="49" fontId="117" fillId="0" borderId="0" xfId="0" applyNumberFormat="1" applyFont="1" applyAlignment="1" applyProtection="1">
      <alignment horizontal="left" vertical="center"/>
      <protection locked="0" hidden="1"/>
    </xf>
    <xf numFmtId="22" fontId="131" fillId="0" borderId="175" xfId="0" applyNumberFormat="1" applyFont="1" applyBorder="1" applyAlignment="1" applyProtection="1">
      <alignment horizontal="center" vertical="center" shrinkToFit="1"/>
      <protection hidden="1"/>
    </xf>
    <xf numFmtId="22" fontId="131" fillId="0" borderId="66" xfId="0" applyNumberFormat="1" applyFont="1" applyBorder="1" applyAlignment="1" applyProtection="1">
      <alignment horizontal="center" vertical="center" shrinkToFit="1"/>
      <protection hidden="1"/>
    </xf>
    <xf numFmtId="22" fontId="131" fillId="0" borderId="64" xfId="0" applyNumberFormat="1" applyFont="1" applyBorder="1" applyAlignment="1" applyProtection="1">
      <alignment horizontal="center" vertical="center" shrinkToFit="1"/>
      <protection hidden="1"/>
    </xf>
    <xf numFmtId="49" fontId="128" fillId="0" borderId="168" xfId="0" applyNumberFormat="1" applyFont="1" applyBorder="1" applyAlignment="1" applyProtection="1">
      <alignment horizontal="center" vertical="center" shrinkToFit="1"/>
      <protection locked="0"/>
    </xf>
    <xf numFmtId="49" fontId="128" fillId="0" borderId="106" xfId="0" applyNumberFormat="1" applyFont="1" applyBorder="1" applyAlignment="1" applyProtection="1">
      <alignment horizontal="center" vertical="center" shrinkToFit="1"/>
      <protection locked="0"/>
    </xf>
    <xf numFmtId="0" fontId="119" fillId="0" borderId="58" xfId="0" applyFont="1" applyBorder="1" applyAlignment="1" applyProtection="1">
      <alignment horizontal="center" vertical="center"/>
      <protection hidden="1"/>
    </xf>
    <xf numFmtId="181" fontId="139" fillId="0" borderId="38" xfId="0" applyNumberFormat="1" applyFont="1" applyBorder="1" applyAlignment="1" applyProtection="1">
      <alignment horizontal="center" vertical="center" shrinkToFit="1"/>
      <protection hidden="1"/>
    </xf>
    <xf numFmtId="176" fontId="145" fillId="0" borderId="94" xfId="1" applyFont="1" applyFill="1" applyBorder="1" applyAlignment="1" applyProtection="1">
      <alignment horizontal="center" vertical="center"/>
      <protection hidden="1"/>
    </xf>
    <xf numFmtId="176" fontId="145" fillId="0" borderId="95" xfId="1" applyFont="1" applyFill="1" applyBorder="1" applyAlignment="1" applyProtection="1">
      <alignment horizontal="center" vertical="center"/>
      <protection hidden="1"/>
    </xf>
    <xf numFmtId="0" fontId="142" fillId="0" borderId="94" xfId="0" applyFont="1" applyBorder="1" applyAlignment="1" applyProtection="1">
      <alignment horizontal="center" vertical="center"/>
      <protection hidden="1"/>
    </xf>
    <xf numFmtId="0" fontId="142" fillId="0" borderId="95" xfId="0" applyFont="1" applyBorder="1" applyAlignment="1" applyProtection="1">
      <alignment horizontal="center" vertical="center"/>
      <protection hidden="1"/>
    </xf>
    <xf numFmtId="176" fontId="146" fillId="0" borderId="65" xfId="0" applyNumberFormat="1" applyFont="1" applyBorder="1" applyAlignment="1" applyProtection="1">
      <alignment horizontal="right" vertical="center" shrinkToFit="1"/>
      <protection hidden="1"/>
    </xf>
    <xf numFmtId="176" fontId="146" fillId="0" borderId="102" xfId="0" applyNumberFormat="1" applyFont="1" applyBorder="1" applyAlignment="1" applyProtection="1">
      <alignment horizontal="right" vertical="center" shrinkToFit="1"/>
      <protection hidden="1"/>
    </xf>
    <xf numFmtId="176" fontId="146" fillId="0" borderId="103" xfId="0" applyNumberFormat="1" applyFont="1" applyBorder="1" applyAlignment="1" applyProtection="1">
      <alignment horizontal="right" vertical="center" shrinkToFit="1"/>
      <protection hidden="1"/>
    </xf>
    <xf numFmtId="176" fontId="147" fillId="0" borderId="96" xfId="0" applyNumberFormat="1" applyFont="1" applyBorder="1" applyAlignment="1" applyProtection="1">
      <alignment horizontal="center" vertical="center" shrinkToFit="1"/>
      <protection hidden="1"/>
    </xf>
    <xf numFmtId="176" fontId="147" fillId="0" borderId="94" xfId="0" applyNumberFormat="1" applyFont="1" applyBorder="1" applyAlignment="1" applyProtection="1">
      <alignment horizontal="center" vertical="center" shrinkToFit="1"/>
      <protection hidden="1"/>
    </xf>
    <xf numFmtId="0" fontId="243" fillId="32" borderId="88" xfId="0" applyFont="1" applyFill="1" applyBorder="1" applyAlignment="1" applyProtection="1">
      <alignment horizontal="center" vertical="center"/>
      <protection hidden="1"/>
    </xf>
    <xf numFmtId="176" fontId="124" fillId="7" borderId="55" xfId="1" applyFont="1" applyFill="1" applyBorder="1" applyAlignment="1" applyProtection="1">
      <alignment horizontal="right" vertical="center"/>
    </xf>
    <xf numFmtId="176" fontId="124" fillId="7" borderId="8" xfId="1" applyFont="1" applyFill="1" applyBorder="1" applyAlignment="1" applyProtection="1">
      <alignment horizontal="right" vertical="center"/>
    </xf>
    <xf numFmtId="176" fontId="155" fillId="0" borderId="120" xfId="1" applyFont="1" applyFill="1" applyBorder="1" applyAlignment="1" applyProtection="1">
      <alignment horizontal="center" vertical="center"/>
      <protection hidden="1"/>
    </xf>
    <xf numFmtId="176" fontId="129" fillId="15" borderId="22" xfId="1" applyFont="1" applyFill="1" applyBorder="1" applyAlignment="1" applyProtection="1">
      <alignment horizontal="center" vertical="center" shrinkToFit="1"/>
      <protection locked="0"/>
    </xf>
    <xf numFmtId="181" fontId="155" fillId="0" borderId="204" xfId="1" applyNumberFormat="1" applyFont="1" applyFill="1" applyBorder="1" applyAlignment="1" applyProtection="1">
      <alignment horizontal="center" vertical="center"/>
      <protection hidden="1"/>
    </xf>
    <xf numFmtId="181" fontId="155" fillId="0" borderId="120" xfId="1" applyNumberFormat="1" applyFont="1" applyFill="1" applyBorder="1" applyAlignment="1" applyProtection="1">
      <alignment horizontal="center" vertical="center"/>
      <protection hidden="1"/>
    </xf>
    <xf numFmtId="0" fontId="121" fillId="28" borderId="18" xfId="0" applyFont="1" applyFill="1" applyBorder="1" applyAlignment="1" applyProtection="1">
      <alignment horizontal="center" vertical="center"/>
      <protection hidden="1"/>
    </xf>
    <xf numFmtId="0" fontId="121" fillId="28" borderId="52" xfId="0" applyFont="1" applyFill="1" applyBorder="1" applyAlignment="1" applyProtection="1">
      <alignment horizontal="center" vertical="center"/>
      <protection hidden="1"/>
    </xf>
    <xf numFmtId="0" fontId="119" fillId="0" borderId="53" xfId="0" applyFont="1" applyBorder="1" applyAlignment="1" applyProtection="1">
      <alignment horizontal="right" vertical="center"/>
      <protection hidden="1"/>
    </xf>
    <xf numFmtId="14" fontId="133" fillId="0" borderId="66" xfId="0" applyNumberFormat="1" applyFont="1" applyBorder="1" applyAlignment="1" applyProtection="1">
      <alignment horizontal="center" vertical="center"/>
      <protection hidden="1"/>
    </xf>
    <xf numFmtId="0" fontId="157" fillId="20" borderId="18" xfId="0" applyFont="1" applyFill="1" applyBorder="1" applyAlignment="1">
      <alignment horizontal="center" vertical="center"/>
    </xf>
    <xf numFmtId="0" fontId="157" fillId="20" borderId="52" xfId="0" applyFont="1" applyFill="1" applyBorder="1" applyAlignment="1">
      <alignment horizontal="center" vertical="center"/>
    </xf>
    <xf numFmtId="0" fontId="157" fillId="20" borderId="51" xfId="0" applyFont="1" applyFill="1" applyBorder="1" applyAlignment="1">
      <alignment horizontal="center" vertical="center"/>
    </xf>
    <xf numFmtId="10" fontId="155" fillId="0" borderId="190" xfId="1" applyNumberFormat="1" applyFont="1" applyFill="1" applyBorder="1" applyAlignment="1" applyProtection="1">
      <alignment horizontal="center" vertical="center"/>
      <protection hidden="1"/>
    </xf>
    <xf numFmtId="10" fontId="155" fillId="0" borderId="119" xfId="1" applyNumberFormat="1" applyFont="1" applyFill="1" applyBorder="1" applyAlignment="1" applyProtection="1">
      <alignment horizontal="center" vertical="center"/>
      <protection hidden="1"/>
    </xf>
    <xf numFmtId="0" fontId="259" fillId="0" borderId="9" xfId="0" applyFont="1" applyBorder="1" applyAlignment="1" applyProtection="1">
      <alignment horizontal="center" vertical="center"/>
      <protection hidden="1"/>
    </xf>
    <xf numFmtId="0" fontId="126" fillId="0" borderId="119" xfId="0" applyFont="1" applyBorder="1" applyAlignment="1" applyProtection="1">
      <alignment horizontal="center" vertical="center"/>
      <protection hidden="1"/>
    </xf>
    <xf numFmtId="176" fontId="155" fillId="0" borderId="120" xfId="1" applyFont="1" applyFill="1" applyBorder="1" applyAlignment="1" applyProtection="1">
      <alignment horizontal="right" vertical="center"/>
      <protection hidden="1"/>
    </xf>
    <xf numFmtId="181" fontId="155" fillId="0" borderId="210" xfId="3" applyNumberFormat="1" applyFont="1" applyFill="1" applyBorder="1" applyAlignment="1" applyProtection="1">
      <alignment horizontal="center" vertical="center"/>
      <protection hidden="1"/>
    </xf>
    <xf numFmtId="181" fontId="155" fillId="0" borderId="211" xfId="3" applyNumberFormat="1" applyFont="1" applyFill="1" applyBorder="1" applyAlignment="1" applyProtection="1">
      <alignment horizontal="center" vertical="center"/>
      <protection hidden="1"/>
    </xf>
    <xf numFmtId="176" fontId="155" fillId="0" borderId="94" xfId="1" applyFont="1" applyFill="1" applyBorder="1" applyAlignment="1" applyProtection="1">
      <alignment horizontal="left" vertical="center"/>
      <protection hidden="1"/>
    </xf>
    <xf numFmtId="176" fontId="145" fillId="0" borderId="94" xfId="0" applyNumberFormat="1" applyFont="1" applyBorder="1" applyAlignment="1" applyProtection="1">
      <alignment horizontal="center" vertical="center"/>
      <protection hidden="1"/>
    </xf>
    <xf numFmtId="176" fontId="145" fillId="0" borderId="95" xfId="0" applyNumberFormat="1" applyFont="1" applyBorder="1" applyAlignment="1" applyProtection="1">
      <alignment horizontal="center" vertical="center"/>
      <protection hidden="1"/>
    </xf>
    <xf numFmtId="176" fontId="129" fillId="15" borderId="15" xfId="1" applyFont="1" applyFill="1" applyBorder="1" applyAlignment="1" applyProtection="1">
      <alignment horizontal="center" vertical="center"/>
      <protection locked="0"/>
    </xf>
    <xf numFmtId="0" fontId="126" fillId="0" borderId="210" xfId="0" applyFont="1" applyBorder="1" applyAlignment="1" applyProtection="1">
      <alignment horizontal="center" vertical="center"/>
      <protection hidden="1"/>
    </xf>
    <xf numFmtId="0" fontId="126" fillId="0" borderId="211" xfId="0" applyFont="1" applyBorder="1" applyAlignment="1" applyProtection="1">
      <alignment horizontal="center" vertical="center"/>
      <protection hidden="1"/>
    </xf>
    <xf numFmtId="0" fontId="126" fillId="0" borderId="212" xfId="0" applyFont="1" applyBorder="1" applyAlignment="1" applyProtection="1">
      <alignment horizontal="center" vertical="center"/>
      <protection hidden="1"/>
    </xf>
    <xf numFmtId="0" fontId="119" fillId="0" borderId="52" xfId="0" applyFont="1" applyBorder="1" applyAlignment="1" applyProtection="1">
      <alignment horizontal="center" vertical="center"/>
      <protection hidden="1"/>
    </xf>
    <xf numFmtId="0" fontId="119" fillId="0" borderId="200" xfId="0" applyFont="1" applyBorder="1" applyAlignment="1" applyProtection="1">
      <alignment horizontal="center" vertical="center"/>
      <protection hidden="1"/>
    </xf>
    <xf numFmtId="176" fontId="134" fillId="0" borderId="96" xfId="0" applyNumberFormat="1" applyFont="1" applyBorder="1" applyAlignment="1" applyProtection="1">
      <alignment horizontal="center" vertical="center" shrinkToFit="1"/>
      <protection hidden="1"/>
    </xf>
    <xf numFmtId="176" fontId="134" fillId="0" borderId="94" xfId="0" applyNumberFormat="1" applyFont="1" applyBorder="1" applyAlignment="1" applyProtection="1">
      <alignment horizontal="center" vertical="center" shrinkToFit="1"/>
      <protection hidden="1"/>
    </xf>
    <xf numFmtId="176" fontId="134" fillId="0" borderId="95" xfId="0" applyNumberFormat="1" applyFont="1" applyBorder="1" applyAlignment="1" applyProtection="1">
      <alignment horizontal="center" vertical="center" shrinkToFit="1"/>
      <protection hidden="1"/>
    </xf>
    <xf numFmtId="0" fontId="129" fillId="20" borderId="7" xfId="0" applyFont="1" applyFill="1" applyBorder="1" applyAlignment="1">
      <alignment horizontal="center" vertical="center"/>
    </xf>
    <xf numFmtId="0" fontId="129" fillId="20" borderId="76" xfId="0" applyFont="1" applyFill="1" applyBorder="1" applyAlignment="1">
      <alignment horizontal="center" vertical="center"/>
    </xf>
    <xf numFmtId="176" fontId="143" fillId="0" borderId="96" xfId="0" applyNumberFormat="1" applyFont="1" applyBorder="1" applyAlignment="1" applyProtection="1">
      <alignment horizontal="center" vertical="center"/>
      <protection hidden="1"/>
    </xf>
    <xf numFmtId="176" fontId="143" fillId="0" borderId="94" xfId="0" applyNumberFormat="1" applyFont="1" applyBorder="1" applyAlignment="1" applyProtection="1">
      <alignment horizontal="center" vertical="center"/>
      <protection hidden="1"/>
    </xf>
    <xf numFmtId="0" fontId="119" fillId="0" borderId="85" xfId="0" applyFont="1" applyBorder="1" applyAlignment="1" applyProtection="1">
      <alignment horizontal="center" vertical="center" shrinkToFit="1"/>
      <protection hidden="1"/>
    </xf>
    <xf numFmtId="176" fontId="165" fillId="15" borderId="52" xfId="1" applyFont="1" applyFill="1" applyBorder="1" applyAlignment="1" applyProtection="1">
      <alignment horizontal="center" vertical="center"/>
      <protection hidden="1"/>
    </xf>
    <xf numFmtId="10" fontId="158" fillId="0" borderId="15" xfId="3" applyNumberFormat="1" applyFont="1" applyFill="1" applyBorder="1" applyAlignment="1" applyProtection="1">
      <alignment horizontal="center" vertical="center"/>
      <protection locked="0"/>
    </xf>
    <xf numFmtId="176" fontId="158" fillId="12" borderId="15" xfId="1" applyFont="1" applyFill="1" applyBorder="1" applyAlignment="1" applyProtection="1">
      <alignment horizontal="center" vertical="center" shrinkToFit="1"/>
    </xf>
    <xf numFmtId="0" fontId="144" fillId="12" borderId="51" xfId="0" applyFont="1" applyFill="1" applyBorder="1" applyAlignment="1">
      <alignment horizontal="center" vertical="center"/>
    </xf>
    <xf numFmtId="10" fontId="158" fillId="12" borderId="15" xfId="3" applyNumberFormat="1" applyFont="1" applyFill="1" applyBorder="1" applyAlignment="1" applyProtection="1">
      <alignment horizontal="center" vertical="center" shrinkToFit="1"/>
    </xf>
    <xf numFmtId="178" fontId="158" fillId="0" borderId="15" xfId="1" applyNumberFormat="1" applyFont="1" applyFill="1" applyBorder="1" applyAlignment="1" applyProtection="1">
      <alignment horizontal="center" vertical="center"/>
      <protection locked="0"/>
    </xf>
    <xf numFmtId="0" fontId="142" fillId="0" borderId="94" xfId="0" applyFont="1" applyBorder="1" applyAlignment="1" applyProtection="1">
      <alignment horizontal="center" vertical="center" shrinkToFit="1"/>
      <protection hidden="1"/>
    </xf>
    <xf numFmtId="0" fontId="165" fillId="15" borderId="0" xfId="0" applyFont="1" applyFill="1" applyAlignment="1" applyProtection="1">
      <alignment horizontal="center" vertical="center" shrinkToFit="1"/>
      <protection hidden="1"/>
    </xf>
    <xf numFmtId="0" fontId="118" fillId="15" borderId="0" xfId="0" applyFont="1" applyFill="1" applyAlignment="1" applyProtection="1">
      <alignment horizontal="center" vertical="center"/>
      <protection hidden="1"/>
    </xf>
    <xf numFmtId="0" fontId="126" fillId="0" borderId="100" xfId="0" applyFont="1" applyBorder="1" applyAlignment="1" applyProtection="1">
      <alignment horizontal="center" vertical="center" shrinkToFit="1"/>
      <protection hidden="1"/>
    </xf>
    <xf numFmtId="0" fontId="173" fillId="0" borderId="0" xfId="0" applyFont="1" applyAlignment="1" applyProtection="1">
      <alignment horizontal="center" vertical="center" shrinkToFit="1"/>
      <protection hidden="1"/>
    </xf>
    <xf numFmtId="0" fontId="173" fillId="0" borderId="100" xfId="0" applyFont="1" applyBorder="1" applyAlignment="1" applyProtection="1">
      <alignment horizontal="center" vertical="center" shrinkToFit="1"/>
      <protection hidden="1"/>
    </xf>
    <xf numFmtId="0" fontId="155" fillId="15" borderId="0" xfId="0" applyFont="1" applyFill="1" applyAlignment="1" applyProtection="1">
      <alignment horizontal="center" vertical="center"/>
      <protection hidden="1"/>
    </xf>
    <xf numFmtId="176" fontId="155" fillId="0" borderId="130" xfId="1" applyFont="1" applyFill="1" applyBorder="1" applyAlignment="1" applyProtection="1">
      <alignment horizontal="center" vertical="center"/>
      <protection hidden="1"/>
    </xf>
    <xf numFmtId="176" fontId="155" fillId="15" borderId="130" xfId="1" applyFont="1" applyFill="1" applyBorder="1" applyAlignment="1" applyProtection="1">
      <alignment horizontal="center" vertical="center"/>
      <protection hidden="1"/>
    </xf>
    <xf numFmtId="0" fontId="116" fillId="0" borderId="18" xfId="0" applyFont="1" applyBorder="1" applyAlignment="1" applyProtection="1">
      <alignment horizontal="center" vertical="center"/>
      <protection locked="0"/>
    </xf>
    <xf numFmtId="0" fontId="116" fillId="0" borderId="52" xfId="0" applyFont="1" applyBorder="1" applyAlignment="1" applyProtection="1">
      <alignment horizontal="center" vertical="center"/>
      <protection locked="0"/>
    </xf>
    <xf numFmtId="0" fontId="116" fillId="0" borderId="51" xfId="0" applyFont="1" applyBorder="1" applyAlignment="1" applyProtection="1">
      <alignment horizontal="center" vertical="center"/>
      <protection locked="0"/>
    </xf>
    <xf numFmtId="0" fontId="123" fillId="0" borderId="18" xfId="0" applyFont="1" applyBorder="1" applyAlignment="1" applyProtection="1">
      <alignment horizontal="center" vertical="center"/>
      <protection locked="0"/>
    </xf>
    <xf numFmtId="0" fontId="123" fillId="0" borderId="51" xfId="0" applyFont="1" applyBorder="1" applyAlignment="1" applyProtection="1">
      <alignment horizontal="center" vertical="center"/>
      <protection locked="0"/>
    </xf>
    <xf numFmtId="176" fontId="160" fillId="0" borderId="204" xfId="1" applyFont="1" applyFill="1" applyBorder="1" applyAlignment="1" applyProtection="1">
      <alignment horizontal="center" vertical="center"/>
      <protection hidden="1"/>
    </xf>
    <xf numFmtId="176" fontId="160" fillId="0" borderId="120" xfId="1" applyFont="1" applyFill="1" applyBorder="1" applyAlignment="1" applyProtection="1">
      <alignment horizontal="center" vertical="center"/>
      <protection hidden="1"/>
    </xf>
    <xf numFmtId="0" fontId="243" fillId="32" borderId="19" xfId="0" applyFont="1" applyFill="1" applyBorder="1" applyAlignment="1" applyProtection="1">
      <alignment horizontal="center" vertical="center" wrapText="1"/>
      <protection hidden="1"/>
    </xf>
    <xf numFmtId="176" fontId="242" fillId="12" borderId="15" xfId="1" applyFont="1" applyFill="1" applyBorder="1" applyAlignment="1" applyProtection="1">
      <alignment horizontal="right" vertical="center" shrinkToFit="1"/>
    </xf>
    <xf numFmtId="0" fontId="259" fillId="0" borderId="15" xfId="0" applyFont="1" applyBorder="1" applyAlignment="1" applyProtection="1">
      <alignment horizontal="center" vertical="center" wrapText="1"/>
      <protection locked="0"/>
    </xf>
    <xf numFmtId="0" fontId="259" fillId="0" borderId="15" xfId="0" applyFont="1" applyBorder="1" applyAlignment="1" applyProtection="1">
      <alignment horizontal="center" vertical="center"/>
      <protection locked="0"/>
    </xf>
    <xf numFmtId="9" fontId="74" fillId="0" borderId="0" xfId="0" applyNumberFormat="1" applyFont="1" applyAlignment="1">
      <alignment horizontal="center" vertical="center"/>
    </xf>
    <xf numFmtId="0" fontId="76" fillId="0" borderId="0" xfId="0" applyFont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49" fillId="15" borderId="102" xfId="0" applyFont="1" applyFill="1" applyBorder="1" applyAlignment="1" applyProtection="1">
      <alignment horizontal="center" vertical="center"/>
      <protection hidden="1"/>
    </xf>
    <xf numFmtId="0" fontId="49" fillId="15" borderId="103" xfId="0" applyFont="1" applyFill="1" applyBorder="1" applyAlignment="1" applyProtection="1">
      <alignment horizontal="center" vertical="center"/>
      <protection hidden="1"/>
    </xf>
    <xf numFmtId="0" fontId="49" fillId="15" borderId="4" xfId="0" applyFont="1" applyFill="1" applyBorder="1" applyAlignment="1" applyProtection="1">
      <alignment horizontal="center" vertical="center"/>
      <protection hidden="1"/>
    </xf>
    <xf numFmtId="0" fontId="49" fillId="15" borderId="149" xfId="0" applyFont="1" applyFill="1" applyBorder="1" applyAlignment="1" applyProtection="1">
      <alignment horizontal="center" vertical="center"/>
      <protection hidden="1"/>
    </xf>
    <xf numFmtId="0" fontId="188" fillId="15" borderId="58" xfId="0" applyFont="1" applyFill="1" applyBorder="1" applyAlignment="1" applyProtection="1">
      <alignment horizontal="center" vertical="center"/>
      <protection hidden="1"/>
    </xf>
    <xf numFmtId="0" fontId="188" fillId="15" borderId="131" xfId="0" applyFont="1" applyFill="1" applyBorder="1" applyAlignment="1" applyProtection="1">
      <alignment horizontal="center" vertical="center"/>
      <protection hidden="1"/>
    </xf>
    <xf numFmtId="0" fontId="188" fillId="15" borderId="131" xfId="0" applyFont="1" applyFill="1" applyBorder="1" applyAlignment="1" applyProtection="1">
      <alignment horizontal="left" vertical="center"/>
      <protection hidden="1"/>
    </xf>
    <xf numFmtId="0" fontId="180" fillId="15" borderId="53" xfId="0" applyFont="1" applyFill="1" applyBorder="1" applyAlignment="1" applyProtection="1">
      <alignment horizontal="center" vertical="center"/>
      <protection hidden="1"/>
    </xf>
    <xf numFmtId="0" fontId="197" fillId="15" borderId="128" xfId="0" applyFont="1" applyFill="1" applyBorder="1" applyAlignment="1" applyProtection="1">
      <alignment horizontal="center" vertical="center"/>
      <protection hidden="1"/>
    </xf>
    <xf numFmtId="0" fontId="74" fillId="0" borderId="0" xfId="0" applyFont="1" applyAlignment="1">
      <alignment horizontal="center" vertical="center"/>
    </xf>
    <xf numFmtId="0" fontId="49" fillId="15" borderId="120" xfId="0" applyFont="1" applyFill="1" applyBorder="1" applyAlignment="1" applyProtection="1">
      <alignment horizontal="center" vertical="center"/>
      <protection hidden="1"/>
    </xf>
    <xf numFmtId="0" fontId="194" fillId="15" borderId="120" xfId="0" applyFont="1" applyFill="1" applyBorder="1" applyAlignment="1" applyProtection="1">
      <alignment horizontal="center" vertical="center"/>
      <protection hidden="1"/>
    </xf>
    <xf numFmtId="0" fontId="194" fillId="15" borderId="120" xfId="0" applyFont="1" applyFill="1" applyBorder="1" applyAlignment="1" applyProtection="1">
      <alignment horizontal="center" vertical="center" shrinkToFit="1"/>
      <protection hidden="1"/>
    </xf>
    <xf numFmtId="0" fontId="49" fillId="15" borderId="119" xfId="0" applyFont="1" applyFill="1" applyBorder="1" applyAlignment="1" applyProtection="1">
      <alignment horizontal="center" vertical="center"/>
      <protection hidden="1"/>
    </xf>
    <xf numFmtId="0" fontId="194" fillId="15" borderId="119" xfId="0" applyFont="1" applyFill="1" applyBorder="1" applyAlignment="1" applyProtection="1">
      <alignment horizontal="center" vertical="center"/>
      <protection hidden="1"/>
    </xf>
    <xf numFmtId="0" fontId="49" fillId="15" borderId="181" xfId="0" applyFont="1" applyFill="1" applyBorder="1" applyAlignment="1" applyProtection="1">
      <alignment horizontal="center" vertical="center"/>
      <protection hidden="1"/>
    </xf>
    <xf numFmtId="0" fontId="194" fillId="15" borderId="116" xfId="0" applyFont="1" applyFill="1" applyBorder="1" applyAlignment="1" applyProtection="1">
      <alignment horizontal="center" vertical="center" shrinkToFit="1"/>
      <protection hidden="1"/>
    </xf>
    <xf numFmtId="0" fontId="194" fillId="15" borderId="181" xfId="0" applyFont="1" applyFill="1" applyBorder="1" applyAlignment="1" applyProtection="1">
      <alignment horizontal="center" vertical="center" shrinkToFit="1"/>
      <protection hidden="1"/>
    </xf>
    <xf numFmtId="0" fontId="194" fillId="15" borderId="119" xfId="0" applyFont="1" applyFill="1" applyBorder="1" applyAlignment="1" applyProtection="1">
      <alignment horizontal="center" vertical="center" shrinkToFit="1"/>
      <protection hidden="1"/>
    </xf>
    <xf numFmtId="0" fontId="194" fillId="15" borderId="181" xfId="0" applyFont="1" applyFill="1" applyBorder="1" applyAlignment="1" applyProtection="1">
      <alignment horizontal="center" vertical="center"/>
      <protection hidden="1"/>
    </xf>
    <xf numFmtId="176" fontId="207" fillId="15" borderId="179" xfId="0" applyNumberFormat="1" applyFont="1" applyFill="1" applyBorder="1" applyAlignment="1" applyProtection="1">
      <alignment horizontal="right" vertical="center" shrinkToFit="1"/>
      <protection hidden="1"/>
    </xf>
    <xf numFmtId="176" fontId="207" fillId="15" borderId="180" xfId="0" applyNumberFormat="1" applyFont="1" applyFill="1" applyBorder="1" applyAlignment="1" applyProtection="1">
      <alignment horizontal="right" vertical="center" shrinkToFit="1"/>
      <protection hidden="1"/>
    </xf>
    <xf numFmtId="0" fontId="179" fillId="15" borderId="25" xfId="0" applyFont="1" applyFill="1" applyBorder="1" applyAlignment="1">
      <alignment horizontal="center" vertical="center"/>
    </xf>
    <xf numFmtId="176" fontId="180" fillId="15" borderId="25" xfId="1" applyFont="1" applyFill="1" applyBorder="1" applyAlignment="1" applyProtection="1">
      <alignment horizontal="center" vertical="center"/>
      <protection locked="0"/>
    </xf>
    <xf numFmtId="176" fontId="200" fillId="15" borderId="0" xfId="1" applyFont="1" applyFill="1" applyBorder="1" applyAlignment="1" applyProtection="1">
      <alignment horizontal="center" vertical="center"/>
      <protection hidden="1"/>
    </xf>
    <xf numFmtId="176" fontId="201" fillId="15" borderId="116" xfId="1" applyFont="1" applyFill="1" applyBorder="1" applyAlignment="1" applyProtection="1">
      <alignment horizontal="center" vertical="center"/>
      <protection hidden="1"/>
    </xf>
    <xf numFmtId="0" fontId="188" fillId="15" borderId="124" xfId="0" applyFont="1" applyFill="1" applyBorder="1" applyAlignment="1" applyProtection="1">
      <alignment horizontal="center" vertical="center"/>
      <protection hidden="1"/>
    </xf>
    <xf numFmtId="176" fontId="194" fillId="15" borderId="0" xfId="1" applyFont="1" applyFill="1" applyBorder="1" applyAlignment="1" applyProtection="1">
      <alignment horizontal="right" vertical="center"/>
      <protection hidden="1"/>
    </xf>
    <xf numFmtId="176" fontId="195" fillId="15" borderId="0" xfId="1" applyFont="1" applyFill="1" applyBorder="1" applyAlignment="1" applyProtection="1">
      <alignment horizontal="center" vertical="center"/>
      <protection hidden="1"/>
    </xf>
    <xf numFmtId="0" fontId="36" fillId="15" borderId="124" xfId="0" applyFont="1" applyFill="1" applyBorder="1" applyAlignment="1" applyProtection="1">
      <alignment horizontal="center" vertical="center"/>
      <protection hidden="1"/>
    </xf>
    <xf numFmtId="9" fontId="194" fillId="15" borderId="0" xfId="3" applyFont="1" applyFill="1" applyBorder="1" applyAlignment="1" applyProtection="1">
      <alignment horizontal="right" vertical="center"/>
      <protection hidden="1"/>
    </xf>
    <xf numFmtId="0" fontId="180" fillId="15" borderId="94" xfId="0" applyFont="1" applyFill="1" applyBorder="1" applyAlignment="1" applyProtection="1">
      <alignment horizontal="center" vertical="center"/>
      <protection hidden="1"/>
    </xf>
    <xf numFmtId="0" fontId="197" fillId="15" borderId="94" xfId="0" applyFont="1" applyFill="1" applyBorder="1" applyAlignment="1" applyProtection="1">
      <alignment horizontal="right" vertical="center"/>
      <protection hidden="1"/>
    </xf>
    <xf numFmtId="176" fontId="206" fillId="15" borderId="178" xfId="0" applyNumberFormat="1" applyFont="1" applyFill="1" applyBorder="1" applyAlignment="1" applyProtection="1">
      <alignment horizontal="center" vertical="center"/>
      <protection hidden="1"/>
    </xf>
    <xf numFmtId="176" fontId="206" fillId="15" borderId="178" xfId="0" applyNumberFormat="1" applyFont="1" applyFill="1" applyBorder="1" applyAlignment="1" applyProtection="1">
      <alignment horizontal="center" vertical="center" shrinkToFit="1"/>
      <protection hidden="1"/>
    </xf>
    <xf numFmtId="176" fontId="198" fillId="15" borderId="128" xfId="0" applyNumberFormat="1" applyFont="1" applyFill="1" applyBorder="1" applyProtection="1">
      <alignment vertical="center"/>
      <protection hidden="1"/>
    </xf>
    <xf numFmtId="0" fontId="197" fillId="15" borderId="130" xfId="0" applyFont="1" applyFill="1" applyBorder="1" applyAlignment="1" applyProtection="1">
      <alignment horizontal="center" vertical="center"/>
      <protection hidden="1"/>
    </xf>
    <xf numFmtId="9" fontId="194" fillId="15" borderId="0" xfId="3" applyFont="1" applyFill="1" applyAlignment="1" applyProtection="1">
      <alignment horizontal="center" vertical="center"/>
      <protection hidden="1"/>
    </xf>
    <xf numFmtId="176" fontId="194" fillId="15" borderId="0" xfId="1" applyFont="1" applyFill="1" applyBorder="1" applyAlignment="1" applyProtection="1">
      <alignment horizontal="center" vertical="center"/>
      <protection hidden="1"/>
    </xf>
    <xf numFmtId="9" fontId="195" fillId="15" borderId="0" xfId="3" applyFont="1" applyFill="1" applyBorder="1" applyAlignment="1" applyProtection="1">
      <alignment horizontal="center" vertical="center"/>
      <protection hidden="1"/>
    </xf>
    <xf numFmtId="0" fontId="179" fillId="15" borderId="0" xfId="0" applyFont="1" applyFill="1" applyAlignment="1">
      <alignment horizontal="center" vertical="center"/>
    </xf>
    <xf numFmtId="0" fontId="179" fillId="15" borderId="176" xfId="0" applyFont="1" applyFill="1" applyBorder="1" applyAlignment="1">
      <alignment horizontal="center" vertical="center"/>
    </xf>
    <xf numFmtId="0" fontId="188" fillId="15" borderId="172" xfId="0" applyFont="1" applyFill="1" applyBorder="1" applyAlignment="1" applyProtection="1">
      <alignment horizontal="center" vertical="center"/>
      <protection hidden="1"/>
    </xf>
    <xf numFmtId="0" fontId="188" fillId="15" borderId="173" xfId="0" applyFont="1" applyFill="1" applyBorder="1" applyAlignment="1" applyProtection="1">
      <alignment horizontal="center" vertical="center"/>
      <protection hidden="1"/>
    </xf>
    <xf numFmtId="14" fontId="182" fillId="15" borderId="53" xfId="0" applyNumberFormat="1" applyFont="1" applyFill="1" applyBorder="1" applyAlignment="1" applyProtection="1">
      <alignment horizontal="center" vertical="center"/>
      <protection hidden="1"/>
    </xf>
    <xf numFmtId="0" fontId="182" fillId="15" borderId="53" xfId="0" applyFont="1" applyFill="1" applyBorder="1" applyAlignment="1" applyProtection="1">
      <alignment horizontal="center" vertical="center"/>
      <protection hidden="1"/>
    </xf>
    <xf numFmtId="0" fontId="182" fillId="15" borderId="174" xfId="0" applyFont="1" applyFill="1" applyBorder="1" applyAlignment="1" applyProtection="1">
      <alignment horizontal="center" vertical="center"/>
      <protection hidden="1"/>
    </xf>
    <xf numFmtId="0" fontId="182" fillId="15" borderId="175" xfId="0" applyFont="1" applyFill="1" applyBorder="1" applyAlignment="1" applyProtection="1">
      <alignment horizontal="center" vertical="center"/>
      <protection hidden="1"/>
    </xf>
    <xf numFmtId="0" fontId="182" fillId="15" borderId="64" xfId="0" applyFont="1" applyFill="1" applyBorder="1" applyAlignment="1" applyProtection="1">
      <alignment horizontal="center" vertical="center"/>
      <protection hidden="1"/>
    </xf>
    <xf numFmtId="0" fontId="192" fillId="15" borderId="52" xfId="0" applyFont="1" applyFill="1" applyBorder="1" applyAlignment="1" applyProtection="1">
      <alignment horizontal="right"/>
      <protection hidden="1"/>
    </xf>
    <xf numFmtId="0" fontId="178" fillId="14" borderId="0" xfId="0" applyFont="1" applyFill="1" applyAlignment="1" applyProtection="1">
      <alignment horizontal="center" vertical="center"/>
      <protection hidden="1"/>
    </xf>
    <xf numFmtId="22" fontId="184" fillId="15" borderId="0" xfId="0" applyNumberFormat="1" applyFont="1" applyFill="1" applyAlignment="1" applyProtection="1">
      <alignment horizontal="center" vertical="center"/>
      <protection hidden="1"/>
    </xf>
    <xf numFmtId="0" fontId="185" fillId="14" borderId="0" xfId="0" applyFont="1" applyFill="1" applyAlignment="1" applyProtection="1">
      <alignment horizontal="center" vertical="center"/>
      <protection hidden="1"/>
    </xf>
    <xf numFmtId="0" fontId="186" fillId="15" borderId="0" xfId="0" applyFont="1" applyFill="1" applyAlignment="1" applyProtection="1">
      <alignment horizontal="right"/>
      <protection hidden="1"/>
    </xf>
    <xf numFmtId="0" fontId="186" fillId="15" borderId="53" xfId="0" applyFont="1" applyFill="1" applyBorder="1" applyAlignment="1" applyProtection="1">
      <alignment horizontal="right"/>
      <protection hidden="1"/>
    </xf>
    <xf numFmtId="0" fontId="36" fillId="15" borderId="58" xfId="0" applyFont="1" applyFill="1" applyBorder="1" applyAlignment="1" applyProtection="1">
      <alignment horizontal="center" vertical="center" shrinkToFit="1"/>
      <protection hidden="1"/>
    </xf>
    <xf numFmtId="0" fontId="36" fillId="15" borderId="170" xfId="0" applyFont="1" applyFill="1" applyBorder="1" applyAlignment="1" applyProtection="1">
      <alignment horizontal="center" vertical="center" shrinkToFit="1"/>
      <protection hidden="1"/>
    </xf>
    <xf numFmtId="0" fontId="188" fillId="15" borderId="171" xfId="0" applyFont="1" applyFill="1" applyBorder="1" applyAlignment="1" applyProtection="1">
      <alignment horizontal="center" vertical="center"/>
      <protection hidden="1"/>
    </xf>
    <xf numFmtId="0" fontId="188" fillId="15" borderId="170" xfId="0" applyFont="1" applyFill="1" applyBorder="1" applyAlignment="1" applyProtection="1">
      <alignment horizontal="center" vertical="center"/>
      <protection hidden="1"/>
    </xf>
    <xf numFmtId="0" fontId="188" fillId="15" borderId="171" xfId="1" applyNumberFormat="1" applyFont="1" applyFill="1" applyBorder="1" applyAlignment="1" applyProtection="1">
      <alignment horizontal="center" vertical="center"/>
      <protection hidden="1"/>
    </xf>
    <xf numFmtId="0" fontId="188" fillId="15" borderId="58" xfId="1" applyNumberFormat="1" applyFont="1" applyFill="1" applyBorder="1" applyAlignment="1" applyProtection="1">
      <alignment horizontal="center" vertical="center"/>
      <protection hidden="1"/>
    </xf>
    <xf numFmtId="176" fontId="194" fillId="15" borderId="58" xfId="1" applyFont="1" applyFill="1" applyBorder="1" applyAlignment="1" applyProtection="1">
      <alignment horizontal="center" vertical="center" shrinkToFit="1"/>
      <protection hidden="1"/>
    </xf>
    <xf numFmtId="176" fontId="193" fillId="15" borderId="58" xfId="1" applyFont="1" applyFill="1" applyBorder="1" applyAlignment="1" applyProtection="1">
      <alignment horizontal="center" vertical="center" shrinkToFit="1"/>
      <protection hidden="1"/>
    </xf>
    <xf numFmtId="0" fontId="180" fillId="15" borderId="66" xfId="0" applyFont="1" applyFill="1" applyBorder="1" applyAlignment="1" applyProtection="1">
      <alignment horizontal="center" vertical="center"/>
      <protection hidden="1"/>
    </xf>
    <xf numFmtId="176" fontId="204" fillId="15" borderId="102" xfId="0" applyNumberFormat="1" applyFont="1" applyFill="1" applyBorder="1" applyAlignment="1" applyProtection="1">
      <alignment horizontal="center" shrinkToFit="1"/>
      <protection hidden="1"/>
    </xf>
    <xf numFmtId="176" fontId="204" fillId="15" borderId="103" xfId="0" applyNumberFormat="1" applyFont="1" applyFill="1" applyBorder="1" applyAlignment="1" applyProtection="1">
      <alignment horizontal="center" shrinkToFit="1"/>
      <protection hidden="1"/>
    </xf>
    <xf numFmtId="176" fontId="204" fillId="15" borderId="0" xfId="0" applyNumberFormat="1" applyFont="1" applyFill="1" applyAlignment="1" applyProtection="1">
      <alignment horizontal="center" shrinkToFit="1"/>
      <protection hidden="1"/>
    </xf>
    <xf numFmtId="176" fontId="204" fillId="15" borderId="56" xfId="0" applyNumberFormat="1" applyFont="1" applyFill="1" applyBorder="1" applyAlignment="1" applyProtection="1">
      <alignment horizontal="center" shrinkToFit="1"/>
      <protection hidden="1"/>
    </xf>
    <xf numFmtId="176" fontId="36" fillId="15" borderId="214" xfId="0" applyNumberFormat="1" applyFont="1" applyFill="1" applyBorder="1" applyAlignment="1" applyProtection="1">
      <alignment horizontal="center" vertical="center" shrinkToFit="1"/>
      <protection hidden="1"/>
    </xf>
    <xf numFmtId="176" fontId="36" fillId="15" borderId="4" xfId="0" applyNumberFormat="1" applyFont="1" applyFill="1" applyBorder="1" applyAlignment="1" applyProtection="1">
      <alignment horizontal="center" vertical="center" shrinkToFit="1"/>
      <protection hidden="1"/>
    </xf>
    <xf numFmtId="176" fontId="36" fillId="15" borderId="149" xfId="0" applyNumberFormat="1" applyFont="1" applyFill="1" applyBorder="1" applyAlignment="1" applyProtection="1">
      <alignment horizontal="center" vertical="center" shrinkToFit="1"/>
      <protection hidden="1"/>
    </xf>
    <xf numFmtId="176" fontId="194" fillId="15" borderId="177" xfId="1" applyFont="1" applyFill="1" applyBorder="1" applyAlignment="1" applyProtection="1">
      <alignment horizontal="center" vertical="center"/>
      <protection hidden="1"/>
    </xf>
    <xf numFmtId="9" fontId="195" fillId="15" borderId="177" xfId="3" applyFont="1" applyFill="1" applyBorder="1" applyAlignment="1" applyProtection="1">
      <alignment horizontal="center" vertical="center"/>
      <protection hidden="1"/>
    </xf>
    <xf numFmtId="176" fontId="195" fillId="15" borderId="177" xfId="1" applyFont="1" applyFill="1" applyBorder="1" applyAlignment="1" applyProtection="1">
      <alignment horizontal="center" vertical="center"/>
      <protection hidden="1"/>
    </xf>
    <xf numFmtId="176" fontId="193" fillId="15" borderId="94" xfId="1" applyFont="1" applyFill="1" applyBorder="1" applyAlignment="1" applyProtection="1">
      <alignment horizontal="left" vertical="center" shrinkToFit="1"/>
      <protection hidden="1"/>
    </xf>
    <xf numFmtId="176" fontId="194" fillId="15" borderId="116" xfId="1" applyFont="1" applyFill="1" applyBorder="1" applyAlignment="1" applyProtection="1">
      <alignment horizontal="right" vertical="center"/>
      <protection hidden="1"/>
    </xf>
    <xf numFmtId="176" fontId="195" fillId="15" borderId="102" xfId="1" applyFont="1" applyFill="1" applyBorder="1" applyAlignment="1" applyProtection="1">
      <alignment horizontal="center" vertical="center" shrinkToFit="1"/>
      <protection hidden="1"/>
    </xf>
    <xf numFmtId="0" fontId="179" fillId="15" borderId="116" xfId="0" applyFont="1" applyFill="1" applyBorder="1" applyAlignment="1" applyProtection="1">
      <alignment horizontal="center" vertical="center"/>
      <protection hidden="1"/>
    </xf>
    <xf numFmtId="179" fontId="194" fillId="15" borderId="116" xfId="1" applyNumberFormat="1" applyFont="1" applyFill="1" applyBorder="1" applyAlignment="1" applyProtection="1">
      <alignment horizontal="center" vertical="center"/>
      <protection hidden="1"/>
    </xf>
    <xf numFmtId="176" fontId="195" fillId="15" borderId="128" xfId="1" applyFont="1" applyFill="1" applyBorder="1" applyAlignment="1" applyProtection="1">
      <alignment horizontal="center" vertical="center"/>
      <protection hidden="1"/>
    </xf>
    <xf numFmtId="176" fontId="195" fillId="15" borderId="66" xfId="1" applyFont="1" applyFill="1" applyBorder="1" applyAlignment="1" applyProtection="1">
      <alignment horizontal="center" vertical="center"/>
      <protection hidden="1"/>
    </xf>
    <xf numFmtId="0" fontId="179" fillId="15" borderId="128" xfId="0" applyFont="1" applyFill="1" applyBorder="1" applyAlignment="1" applyProtection="1">
      <alignment horizontal="right" vertical="center"/>
      <protection hidden="1"/>
    </xf>
    <xf numFmtId="0" fontId="93" fillId="0" borderId="18" xfId="0" applyFont="1" applyBorder="1" applyAlignment="1">
      <alignment horizontal="center" vertical="center"/>
    </xf>
    <xf numFmtId="0" fontId="93" fillId="0" borderId="52" xfId="0" applyFont="1" applyBorder="1" applyAlignment="1">
      <alignment horizontal="center" vertical="center"/>
    </xf>
    <xf numFmtId="0" fontId="93" fillId="0" borderId="51" xfId="0" applyFont="1" applyBorder="1" applyAlignment="1">
      <alignment horizontal="center" vertical="center"/>
    </xf>
    <xf numFmtId="176" fontId="257" fillId="0" borderId="18" xfId="0" applyNumberFormat="1" applyFont="1" applyBorder="1" applyAlignment="1">
      <alignment horizontal="center" vertical="center"/>
    </xf>
    <xf numFmtId="176" fontId="257" fillId="0" borderId="52" xfId="0" applyNumberFormat="1" applyFont="1" applyBorder="1" applyAlignment="1">
      <alignment horizontal="center" vertical="center"/>
    </xf>
    <xf numFmtId="176" fontId="257" fillId="0" borderId="51" xfId="0" applyNumberFormat="1" applyFont="1" applyBorder="1" applyAlignment="1">
      <alignment horizontal="center" vertical="center"/>
    </xf>
    <xf numFmtId="0" fontId="254" fillId="0" borderId="161" xfId="0" applyFont="1" applyBorder="1" applyAlignment="1">
      <alignment horizontal="center" vertical="center"/>
    </xf>
    <xf numFmtId="0" fontId="254" fillId="0" borderId="219" xfId="0" applyFont="1" applyBorder="1" applyAlignment="1">
      <alignment horizontal="center" vertical="center"/>
    </xf>
    <xf numFmtId="0" fontId="254" fillId="0" borderId="7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18" fillId="7" borderId="47" xfId="0" applyFont="1" applyFill="1" applyBorder="1" applyAlignment="1">
      <alignment horizontal="center" vertical="center"/>
    </xf>
    <xf numFmtId="0" fontId="218" fillId="7" borderId="22" xfId="0" applyFont="1" applyFill="1" applyBorder="1" applyAlignment="1">
      <alignment horizontal="center" vertical="center"/>
    </xf>
    <xf numFmtId="0" fontId="218" fillId="7" borderId="48" xfId="0" applyFont="1" applyFill="1" applyBorder="1" applyAlignment="1">
      <alignment horizontal="center" vertical="center"/>
    </xf>
    <xf numFmtId="0" fontId="218" fillId="7" borderId="47" xfId="0" applyFont="1" applyFill="1" applyBorder="1" applyAlignment="1">
      <alignment horizontal="center" vertical="center" wrapText="1"/>
    </xf>
    <xf numFmtId="0" fontId="218" fillId="7" borderId="22" xfId="0" applyFont="1" applyFill="1" applyBorder="1" applyAlignment="1">
      <alignment horizontal="center" vertical="center" wrapText="1"/>
    </xf>
    <xf numFmtId="0" fontId="247" fillId="5" borderId="53" xfId="0" applyFont="1" applyFill="1" applyBorder="1" applyAlignment="1">
      <alignment horizontal="left" vertical="center"/>
    </xf>
    <xf numFmtId="0" fontId="247" fillId="31" borderId="18" xfId="0" applyFont="1" applyFill="1" applyBorder="1" applyAlignment="1">
      <alignment horizontal="left" vertical="center"/>
    </xf>
    <xf numFmtId="0" fontId="247" fillId="31" borderId="51" xfId="0" applyFont="1" applyFill="1" applyBorder="1" applyAlignment="1">
      <alignment horizontal="left" vertical="center"/>
    </xf>
    <xf numFmtId="0" fontId="218" fillId="5" borderId="47" xfId="0" applyFont="1" applyFill="1" applyBorder="1" applyAlignment="1">
      <alignment horizontal="center" vertical="center"/>
    </xf>
    <xf numFmtId="0" fontId="218" fillId="5" borderId="22" xfId="0" applyFont="1" applyFill="1" applyBorder="1" applyAlignment="1">
      <alignment horizontal="center" vertical="center"/>
    </xf>
    <xf numFmtId="0" fontId="249" fillId="7" borderId="164" xfId="0" applyFont="1" applyFill="1" applyBorder="1" applyAlignment="1">
      <alignment horizontal="center" vertical="center"/>
    </xf>
    <xf numFmtId="0" fontId="249" fillId="7" borderId="165" xfId="0" applyFont="1" applyFill="1" applyBorder="1" applyAlignment="1">
      <alignment horizontal="center" vertical="center"/>
    </xf>
    <xf numFmtId="0" fontId="218" fillId="30" borderId="47" xfId="0" applyFont="1" applyFill="1" applyBorder="1" applyAlignment="1">
      <alignment horizontal="center" vertical="center"/>
    </xf>
    <xf numFmtId="0" fontId="218" fillId="30" borderId="48" xfId="0" applyFont="1" applyFill="1" applyBorder="1" applyAlignment="1">
      <alignment horizontal="center" vertical="center"/>
    </xf>
    <xf numFmtId="0" fontId="218" fillId="30" borderId="22" xfId="0" applyFont="1" applyFill="1" applyBorder="1" applyAlignment="1">
      <alignment horizontal="center" vertical="center"/>
    </xf>
    <xf numFmtId="0" fontId="218" fillId="5" borderId="47" xfId="0" applyFont="1" applyFill="1" applyBorder="1" applyAlignment="1">
      <alignment horizontal="center" vertical="center" wrapText="1"/>
    </xf>
    <xf numFmtId="0" fontId="218" fillId="5" borderId="22" xfId="0" applyFont="1" applyFill="1" applyBorder="1" applyAlignment="1">
      <alignment horizontal="center" vertical="center" wrapText="1"/>
    </xf>
    <xf numFmtId="0" fontId="218" fillId="6" borderId="47" xfId="0" applyFont="1" applyFill="1" applyBorder="1" applyAlignment="1">
      <alignment horizontal="center" vertical="center"/>
    </xf>
    <xf numFmtId="0" fontId="218" fillId="6" borderId="22" xfId="0" applyFont="1" applyFill="1" applyBorder="1" applyAlignment="1">
      <alignment horizontal="center" vertical="center"/>
    </xf>
    <xf numFmtId="0" fontId="218" fillId="6" borderId="48" xfId="0" applyFont="1" applyFill="1" applyBorder="1" applyAlignment="1">
      <alignment horizontal="center" vertical="center"/>
    </xf>
    <xf numFmtId="0" fontId="218" fillId="6" borderId="47" xfId="0" applyFont="1" applyFill="1" applyBorder="1" applyAlignment="1">
      <alignment horizontal="center" vertical="center" wrapText="1"/>
    </xf>
    <xf numFmtId="0" fontId="218" fillId="6" borderId="22" xfId="0" applyFont="1" applyFill="1" applyBorder="1" applyAlignment="1">
      <alignment horizontal="center" vertical="center" wrapText="1"/>
    </xf>
    <xf numFmtId="0" fontId="218" fillId="4" borderId="47" xfId="0" applyFont="1" applyFill="1" applyBorder="1" applyAlignment="1">
      <alignment horizontal="center" vertical="center"/>
    </xf>
    <xf numFmtId="0" fontId="218" fillId="4" borderId="22" xfId="0" applyFont="1" applyFill="1" applyBorder="1" applyAlignment="1">
      <alignment horizontal="center" vertical="center"/>
    </xf>
    <xf numFmtId="0" fontId="218" fillId="4" borderId="48" xfId="0" applyFont="1" applyFill="1" applyBorder="1" applyAlignment="1">
      <alignment horizontal="center" vertical="center"/>
    </xf>
    <xf numFmtId="0" fontId="218" fillId="4" borderId="47" xfId="0" applyFont="1" applyFill="1" applyBorder="1" applyAlignment="1">
      <alignment horizontal="center" vertical="center" wrapText="1"/>
    </xf>
    <xf numFmtId="0" fontId="218" fillId="4" borderId="22" xfId="0" applyFont="1" applyFill="1" applyBorder="1" applyAlignment="1">
      <alignment horizontal="center" vertical="center" wrapText="1"/>
    </xf>
    <xf numFmtId="0" fontId="249" fillId="5" borderId="53" xfId="0" applyFont="1" applyFill="1" applyBorder="1" applyAlignment="1">
      <alignment horizontal="left" vertical="center"/>
    </xf>
    <xf numFmtId="0" fontId="218" fillId="0" borderId="79" xfId="11" applyFont="1" applyBorder="1" applyAlignment="1">
      <alignment horizontal="center" vertical="center"/>
    </xf>
    <xf numFmtId="0" fontId="218" fillId="0" borderId="163" xfId="11" applyFont="1" applyBorder="1" applyAlignment="1">
      <alignment horizontal="center" vertical="center"/>
    </xf>
    <xf numFmtId="176" fontId="218" fillId="0" borderId="163" xfId="11" applyNumberFormat="1" applyFont="1" applyBorder="1" applyAlignment="1">
      <alignment horizontal="right" vertical="center"/>
    </xf>
    <xf numFmtId="176" fontId="218" fillId="0" borderId="72" xfId="11" applyNumberFormat="1" applyFont="1" applyBorder="1" applyAlignment="1">
      <alignment horizontal="right" vertical="center"/>
    </xf>
    <xf numFmtId="0" fontId="248" fillId="21" borderId="25" xfId="11" applyFont="1" applyFill="1" applyBorder="1" applyAlignment="1">
      <alignment horizontal="left" vertical="center"/>
    </xf>
    <xf numFmtId="0" fontId="218" fillId="0" borderId="15" xfId="11" applyFont="1" applyBorder="1" applyAlignment="1">
      <alignment horizontal="center" vertical="center"/>
    </xf>
    <xf numFmtId="0" fontId="218" fillId="0" borderId="72" xfId="11" applyFont="1" applyBorder="1" applyAlignment="1">
      <alignment horizontal="center" vertical="center"/>
    </xf>
    <xf numFmtId="0" fontId="10" fillId="34" borderId="238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34" borderId="104" xfId="0" applyFont="1" applyFill="1" applyBorder="1" applyAlignment="1">
      <alignment horizontal="center" vertical="center"/>
    </xf>
    <xf numFmtId="0" fontId="96" fillId="0" borderId="15" xfId="0" applyFont="1" applyBorder="1" applyAlignment="1">
      <alignment horizontal="center" vertical="center"/>
    </xf>
    <xf numFmtId="0" fontId="10" fillId="34" borderId="59" xfId="0" applyFont="1" applyFill="1" applyBorder="1" applyAlignment="1">
      <alignment horizontal="center" vertical="center"/>
    </xf>
    <xf numFmtId="0" fontId="10" fillId="34" borderId="26" xfId="0" applyFont="1" applyFill="1" applyBorder="1" applyAlignment="1">
      <alignment horizontal="center" vertical="center"/>
    </xf>
    <xf numFmtId="0" fontId="96" fillId="0" borderId="59" xfId="0" applyFont="1" applyBorder="1" applyAlignment="1">
      <alignment horizontal="center" vertical="center"/>
    </xf>
    <xf numFmtId="0" fontId="96" fillId="0" borderId="247" xfId="0" applyFont="1" applyBorder="1" applyAlignment="1">
      <alignment horizontal="center" vertical="center"/>
    </xf>
    <xf numFmtId="0" fontId="96" fillId="0" borderId="27" xfId="0" applyFont="1" applyBorder="1" applyAlignment="1">
      <alignment horizontal="center" vertical="center"/>
    </xf>
    <xf numFmtId="0" fontId="96" fillId="0" borderId="59" xfId="0" applyFont="1" applyBorder="1" applyAlignment="1">
      <alignment horizontal="center" vertical="center" wrapText="1"/>
    </xf>
    <xf numFmtId="0" fontId="96" fillId="0" borderId="247" xfId="0" applyFont="1" applyBorder="1" applyAlignment="1">
      <alignment horizontal="center" vertical="center" wrapText="1"/>
    </xf>
    <xf numFmtId="0" fontId="96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79" fillId="9" borderId="6" xfId="0" applyFont="1" applyFill="1" applyBorder="1" applyAlignment="1">
      <alignment horizontal="center" vertical="center"/>
    </xf>
    <xf numFmtId="0" fontId="79" fillId="9" borderId="8" xfId="0" applyFont="1" applyFill="1" applyBorder="1" applyAlignment="1">
      <alignment horizontal="center" vertical="center"/>
    </xf>
    <xf numFmtId="181" fontId="130" fillId="5" borderId="15" xfId="3" applyNumberFormat="1" applyFont="1" applyFill="1" applyBorder="1" applyAlignment="1" applyProtection="1">
      <alignment horizontal="left" vertical="center"/>
    </xf>
    <xf numFmtId="0" fontId="284" fillId="5" borderId="13" xfId="0" applyFont="1" applyFill="1" applyBorder="1" applyAlignment="1" applyProtection="1">
      <alignment horizontal="center" vertical="center"/>
      <protection locked="0"/>
    </xf>
    <xf numFmtId="0" fontId="283" fillId="5" borderId="13" xfId="0" applyFont="1" applyFill="1" applyBorder="1" applyAlignment="1" applyProtection="1">
      <alignment horizontal="center" vertical="center"/>
      <protection locked="0"/>
    </xf>
    <xf numFmtId="0" fontId="66" fillId="0" borderId="13" xfId="0" applyFont="1" applyFill="1" applyBorder="1" applyAlignment="1" applyProtection="1">
      <alignment horizontal="center" vertical="center"/>
      <protection locked="0"/>
    </xf>
    <xf numFmtId="0" fontId="66" fillId="0" borderId="14" xfId="0" applyFont="1" applyFill="1" applyBorder="1" applyAlignment="1" applyProtection="1">
      <alignment horizontal="left" vertical="center"/>
      <protection locked="0"/>
    </xf>
    <xf numFmtId="0" fontId="65" fillId="0" borderId="14" xfId="0" applyFont="1" applyFill="1" applyBorder="1" applyAlignment="1" applyProtection="1">
      <alignment horizontal="left" vertical="center"/>
      <protection locked="0"/>
    </xf>
    <xf numFmtId="0" fontId="65" fillId="0" borderId="1" xfId="0" applyFont="1" applyFill="1" applyBorder="1" applyAlignment="1" applyProtection="1">
      <alignment horizontal="left" vertical="center"/>
      <protection locked="0"/>
    </xf>
    <xf numFmtId="0" fontId="285" fillId="5" borderId="34" xfId="0" applyFont="1" applyFill="1" applyBorder="1" applyAlignment="1" applyProtection="1">
      <alignment horizontal="center" vertical="center"/>
      <protection locked="0"/>
    </xf>
    <xf numFmtId="0" fontId="159" fillId="5" borderId="7" xfId="0" applyFont="1" applyFill="1" applyBorder="1" applyAlignment="1" applyProtection="1">
      <alignment horizontal="center" vertical="center"/>
      <protection locked="0"/>
    </xf>
  </cellXfs>
  <cellStyles count="47">
    <cellStyle name="강조색4" xfId="45" builtinId="41"/>
    <cellStyle name="백분율" xfId="3" builtinId="5"/>
    <cellStyle name="백분율 2" xfId="44" xr:uid="{00000000-0005-0000-0000-000002000000}"/>
    <cellStyle name="백분율 6" xfId="9" xr:uid="{00000000-0005-0000-0000-000003000000}"/>
    <cellStyle name="쉼표 [0]" xfId="1" builtinId="6"/>
    <cellStyle name="쉼표 [0] 10 19" xfId="5" xr:uid="{00000000-0005-0000-0000-000005000000}"/>
    <cellStyle name="쉼표 [0] 137" xfId="41" xr:uid="{00000000-0005-0000-0000-000006000000}"/>
    <cellStyle name="쉼표 [0] 2" xfId="14" xr:uid="{00000000-0005-0000-0000-000007000000}"/>
    <cellStyle name="쉼표 [0] 2 2" xfId="13" xr:uid="{00000000-0005-0000-0000-000008000000}"/>
    <cellStyle name="쉼표 [0] 3" xfId="43" xr:uid="{00000000-0005-0000-0000-000009000000}"/>
    <cellStyle name="쉼표 [0] 8" xfId="39" xr:uid="{00000000-0005-0000-0000-00000A000000}"/>
    <cellStyle name="통화 [0]" xfId="2" builtinId="7"/>
    <cellStyle name="표준" xfId="0" builtinId="0"/>
    <cellStyle name="표준 2" xfId="12" xr:uid="{00000000-0005-0000-0000-00000D000000}"/>
    <cellStyle name="표준 2 3" xfId="8" xr:uid="{00000000-0005-0000-0000-00000E000000}"/>
    <cellStyle name="표준 2 4" xfId="11" xr:uid="{00000000-0005-0000-0000-00000F000000}"/>
    <cellStyle name="표준 21" xfId="19" xr:uid="{00000000-0005-0000-0000-000010000000}"/>
    <cellStyle name="표준 22" xfId="10" xr:uid="{00000000-0005-0000-0000-000011000000}"/>
    <cellStyle name="표준 229" xfId="40" xr:uid="{00000000-0005-0000-0000-000012000000}"/>
    <cellStyle name="표준 23" xfId="15" xr:uid="{00000000-0005-0000-0000-000013000000}"/>
    <cellStyle name="표준 230" xfId="25" xr:uid="{00000000-0005-0000-0000-000014000000}"/>
    <cellStyle name="표준 231" xfId="26" xr:uid="{00000000-0005-0000-0000-000015000000}"/>
    <cellStyle name="표준 232" xfId="18" xr:uid="{00000000-0005-0000-0000-000016000000}"/>
    <cellStyle name="표준 234" xfId="27" xr:uid="{00000000-0005-0000-0000-000017000000}"/>
    <cellStyle name="표준 235" xfId="28" xr:uid="{00000000-0005-0000-0000-000018000000}"/>
    <cellStyle name="표준 236" xfId="29" xr:uid="{00000000-0005-0000-0000-000019000000}"/>
    <cellStyle name="표준 24" xfId="23" xr:uid="{00000000-0005-0000-0000-00001A000000}"/>
    <cellStyle name="표준 243" xfId="30" xr:uid="{00000000-0005-0000-0000-00001B000000}"/>
    <cellStyle name="표준 244" xfId="31" xr:uid="{00000000-0005-0000-0000-00001C000000}"/>
    <cellStyle name="표준 245" xfId="32" xr:uid="{00000000-0005-0000-0000-00001D000000}"/>
    <cellStyle name="표준 249" xfId="20" xr:uid="{00000000-0005-0000-0000-00001E000000}"/>
    <cellStyle name="표준 25" xfId="17" xr:uid="{00000000-0005-0000-0000-00001F000000}"/>
    <cellStyle name="표준 250" xfId="21" xr:uid="{00000000-0005-0000-0000-000020000000}"/>
    <cellStyle name="표준 251" xfId="22" xr:uid="{00000000-0005-0000-0000-000021000000}"/>
    <cellStyle name="표준 252" xfId="33" xr:uid="{00000000-0005-0000-0000-000022000000}"/>
    <cellStyle name="표준 253" xfId="34" xr:uid="{00000000-0005-0000-0000-000023000000}"/>
    <cellStyle name="표준 255" xfId="16" xr:uid="{00000000-0005-0000-0000-000024000000}"/>
    <cellStyle name="표준 259" xfId="35" xr:uid="{00000000-0005-0000-0000-000025000000}"/>
    <cellStyle name="표준 26" xfId="24" xr:uid="{00000000-0005-0000-0000-000026000000}"/>
    <cellStyle name="표준 260" xfId="36" xr:uid="{00000000-0005-0000-0000-000027000000}"/>
    <cellStyle name="표준 262" xfId="37" xr:uid="{00000000-0005-0000-0000-000028000000}"/>
    <cellStyle name="표준 263" xfId="38" xr:uid="{00000000-0005-0000-0000-000029000000}"/>
    <cellStyle name="표준 3" xfId="42" xr:uid="{00000000-0005-0000-0000-00002A000000}"/>
    <cellStyle name="표준 4" xfId="46" xr:uid="{00000000-0005-0000-0000-00002B000000}"/>
    <cellStyle name="표준 7" xfId="7" xr:uid="{00000000-0005-0000-0000-00002C000000}"/>
    <cellStyle name="표준 9" xfId="6" xr:uid="{00000000-0005-0000-0000-00002D000000}"/>
    <cellStyle name="표준_부대비용리스트(1208)" xfId="4" xr:uid="{00000000-0005-0000-0000-00002E000000}"/>
  </cellStyles>
  <dxfs count="30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border>
        <left/>
        <right/>
        <top/>
        <bottom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border>
        <top style="dotted">
          <color auto="1"/>
        </top>
      </border>
    </dxf>
    <dxf>
      <font>
        <b val="0"/>
        <i val="0"/>
        <color auto="1"/>
      </font>
      <border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auto="1"/>
      </font>
    </dxf>
    <dxf>
      <font>
        <b/>
        <i val="0"/>
      </font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rgb="FFFFFF00"/>
        </patternFill>
      </fill>
      <border>
        <left style="dashed">
          <color theme="1"/>
        </left>
        <right style="dashed">
          <color theme="1"/>
        </right>
        <top style="dashed">
          <color theme="1"/>
        </top>
        <bottom style="dashed">
          <color theme="1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7" tint="0.59996337778862885"/>
      </font>
      <fill>
        <patternFill>
          <bgColor theme="7" tint="0.59996337778862885"/>
        </patternFill>
      </fill>
      <border>
        <left/>
      </border>
    </dxf>
    <dxf>
      <font>
        <b val="0"/>
        <i/>
        <color theme="8" tint="0.7999816888943144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  <border>
        <left style="dashed">
          <color theme="1"/>
        </left>
        <right style="dashed">
          <color theme="1"/>
        </right>
        <top style="dashed">
          <color theme="1"/>
        </top>
        <bottom style="dashed">
          <color theme="1"/>
        </bottom>
      </border>
    </dxf>
    <dxf>
      <border>
        <right/>
        <vertical/>
        <horizontal/>
      </border>
    </dxf>
    <dxf>
      <border>
        <left style="hair">
          <color auto="1"/>
        </left>
        <right style="hair">
          <color auto="1"/>
        </right>
        <vertical/>
        <horizontal/>
      </border>
    </dxf>
    <dxf>
      <font>
        <b/>
        <i val="0"/>
        <color theme="1"/>
      </font>
      <fill>
        <patternFill>
          <bgColor theme="5" tint="0.59996337778862885"/>
        </patternFill>
      </fill>
      <border>
        <left/>
        <right/>
        <top/>
        <bottom/>
      </border>
    </dxf>
    <dxf>
      <font>
        <color theme="0"/>
      </font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hair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border>
        <right style="hair">
          <color auto="1"/>
        </right>
        <vertical/>
        <horizontal/>
      </border>
    </dxf>
    <dxf>
      <font>
        <b val="0"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CC"/>
      <color rgb="FF0000FF"/>
      <color rgb="FF5081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BE$21" inc="5" max="900" page="10" val="280"/>
</file>

<file path=xl/ctrlProps/ctrlProp10.xml><?xml version="1.0" encoding="utf-8"?>
<formControlPr xmlns="http://schemas.microsoft.com/office/spreadsheetml/2009/9/main" objectType="Drop" dropLines="5" dropStyle="combo" dx="16" fmlaLink="$BB$12" fmlaRange="$BA$13:$BA$17" noThreeD="1" sel="2" val="0"/>
</file>

<file path=xl/ctrlProps/ctrlProp11.xml><?xml version="1.0" encoding="utf-8"?>
<formControlPr xmlns="http://schemas.microsoft.com/office/spreadsheetml/2009/9/main" objectType="Drop" dropLines="5" dropStyle="combo" dx="16" fmlaLink="$BB$37" fmlaRange="$BA$38:$BA$42" noThreeD="1" sel="2" val="0"/>
</file>

<file path=xl/ctrlProps/ctrlProp12.xml><?xml version="1.0" encoding="utf-8"?>
<formControlPr xmlns="http://schemas.microsoft.com/office/spreadsheetml/2009/9/main" objectType="Drop" dropLines="10" dropStyle="combo" dx="16" fmlaLink="$BC$4" fmlaRange="$BC$5:$BC$12" noThreeD="1" sel="6" val="0"/>
</file>

<file path=xl/ctrlProps/ctrlProp13.xml><?xml version="1.0" encoding="utf-8"?>
<formControlPr xmlns="http://schemas.microsoft.com/office/spreadsheetml/2009/9/main" objectType="Drop" dropLines="10" dropStyle="combo" dx="16" fmlaLink="$BC$26" fmlaRange="$BC$27:$BC$34" noThreeD="1" sel="6" val="0"/>
</file>

<file path=xl/ctrlProps/ctrlProp14.xml><?xml version="1.0" encoding="utf-8"?>
<formControlPr xmlns="http://schemas.microsoft.com/office/spreadsheetml/2009/9/main" objectType="Spin" dx="16" fmlaLink="$BE$43" inc="5" max="400" page="10" val="280"/>
</file>

<file path=xl/ctrlProps/ctrlProp15.xml><?xml version="1.0" encoding="utf-8"?>
<formControlPr xmlns="http://schemas.microsoft.com/office/spreadsheetml/2009/9/main" objectType="CheckBox" checked="Checked" fmlaLink="$BD$43" lockText="1" noThreeD="1"/>
</file>

<file path=xl/ctrlProps/ctrlProp16.xml><?xml version="1.0" encoding="utf-8"?>
<formControlPr xmlns="http://schemas.microsoft.com/office/spreadsheetml/2009/9/main" objectType="Drop" dropLines="9" dropStyle="combo" dx="16" fmlaLink="$AO$36" fmlaRange="주요기준!$B$4:$B$12" noThreeD="1" sel="1" val="0"/>
</file>

<file path=xl/ctrlProps/ctrlProp17.xml><?xml version="1.0" encoding="utf-8"?>
<formControlPr xmlns="http://schemas.microsoft.com/office/spreadsheetml/2009/9/main" objectType="Drop" dropLines="16" dropStyle="combo" dx="16" fmlaLink="$AQ$36" fmlaRange="주요기준!$D$4:$D$16" noThreeD="1" sel="1" val="0"/>
</file>

<file path=xl/ctrlProps/ctrlProp18.xml><?xml version="1.0" encoding="utf-8"?>
<formControlPr xmlns="http://schemas.microsoft.com/office/spreadsheetml/2009/9/main" objectType="Drop" dropStyle="combo" dx="16" fmlaLink="$AO$37" fmlaRange="주요기준!$B$14:$B$21" noThreeD="1" sel="2" val="0"/>
</file>

<file path=xl/ctrlProps/ctrlProp19.xml><?xml version="1.0" encoding="utf-8"?>
<formControlPr xmlns="http://schemas.microsoft.com/office/spreadsheetml/2009/9/main" objectType="Drop" dropLines="7" dropStyle="combo" dx="16" fmlaLink="$AO$38" fmlaRange="주요기준!$B$23:$B$29" noThreeD="1" sel="2" val="0"/>
</file>

<file path=xl/ctrlProps/ctrlProp2.xml><?xml version="1.0" encoding="utf-8"?>
<formControlPr xmlns="http://schemas.microsoft.com/office/spreadsheetml/2009/9/main" objectType="CheckBox" fmlaLink="$BD$21" lockText="1" noThreeD="1"/>
</file>

<file path=xl/ctrlProps/ctrlProp20.xml><?xml version="1.0" encoding="utf-8"?>
<formControlPr xmlns="http://schemas.microsoft.com/office/spreadsheetml/2009/9/main" objectType="Drop" dropStyle="combo" dx="16" fmlaLink="$AQ$37" fmlaRange="주요기준!$D$18:$D$21" noThreeD="1" sel="1" val="0"/>
</file>

<file path=xl/ctrlProps/ctrlProp21.xml><?xml version="1.0" encoding="utf-8"?>
<formControlPr xmlns="http://schemas.microsoft.com/office/spreadsheetml/2009/9/main" objectType="Drop" dropLines="6" dropStyle="combo" dx="16" fmlaLink="$AQ$38" fmlaRange="주요기준!$D$23:$D$28" noThreeD="1" sel="1" val="0"/>
</file>

<file path=xl/ctrlProps/ctrlProp22.xml><?xml version="1.0" encoding="utf-8"?>
<formControlPr xmlns="http://schemas.microsoft.com/office/spreadsheetml/2009/9/main" objectType="CheckBox" fmlaLink="$BC$17" lockText="1"/>
</file>

<file path=xl/ctrlProps/ctrlProp23.xml><?xml version="1.0" encoding="utf-8"?>
<formControlPr xmlns="http://schemas.microsoft.com/office/spreadsheetml/2009/9/main" objectType="CheckBox" checked="Checked" fmlaLink="$BC$18" lockText="1" noThreeD="1"/>
</file>

<file path=xl/ctrlProps/ctrlProp24.xml><?xml version="1.0" encoding="utf-8"?>
<formControlPr xmlns="http://schemas.microsoft.com/office/spreadsheetml/2009/9/main" objectType="CheckBox" fmlaLink="$AO$15"/>
</file>

<file path=xl/ctrlProps/ctrlProp25.xml><?xml version="1.0" encoding="utf-8"?>
<formControlPr xmlns="http://schemas.microsoft.com/office/spreadsheetml/2009/9/main" objectType="Drop" dropLines="2" dropStyle="combo" dx="16" fmlaLink="$AT$11" fmlaRange="$AT$12:$AT$13" noThreeD="1" sel="1" val="0"/>
</file>

<file path=xl/ctrlProps/ctrlProp26.xml><?xml version="1.0" encoding="utf-8"?>
<formControlPr xmlns="http://schemas.microsoft.com/office/spreadsheetml/2009/9/main" objectType="Drop" dropLines="4" dropStyle="combo" dx="16" fmlaLink="$BI$12" fmlaRange="$BI$13:$BI$16" noThreeD="1" sel="1" val="0"/>
</file>

<file path=xl/ctrlProps/ctrlProp27.xml><?xml version="1.0" encoding="utf-8"?>
<formControlPr xmlns="http://schemas.microsoft.com/office/spreadsheetml/2009/9/main" objectType="Drop" dropLines="2" dropStyle="combo" dx="16" fmlaLink="$AT$4" fmlaRange="$AT$5:$AT$6" noThreeD="1" sel="2" val="0"/>
</file>

<file path=xl/ctrlProps/ctrlProp28.xml><?xml version="1.0" encoding="utf-8"?>
<formControlPr xmlns="http://schemas.microsoft.com/office/spreadsheetml/2009/9/main" objectType="CheckBox" checked="Checked" fmlaLink="$BC$18" lockText="1"/>
</file>

<file path=xl/ctrlProps/ctrlProp29.xml><?xml version="1.0" encoding="utf-8"?>
<formControlPr xmlns="http://schemas.microsoft.com/office/spreadsheetml/2009/9/main" objectType="CheckBox" fmlaLink="$BD$21" lockText="1"/>
</file>

<file path=xl/ctrlProps/ctrlProp3.xml><?xml version="1.0" encoding="utf-8"?>
<formControlPr xmlns="http://schemas.microsoft.com/office/spreadsheetml/2009/9/main" objectType="Drop" dropLines="3" dropStyle="combo" dx="16" fmlaLink="$BJ$4" fmlaRange="$BJ$5:$BJ$7" noThreeD="1" sel="1" val="0"/>
</file>

<file path=xl/ctrlProps/ctrlProp30.xml><?xml version="1.0" encoding="utf-8"?>
<formControlPr xmlns="http://schemas.microsoft.com/office/spreadsheetml/2009/9/main" objectType="CheckBox" fmlaLink="$AU$14" lockText="1"/>
</file>

<file path=xl/ctrlProps/ctrlProp31.xml><?xml version="1.0" encoding="utf-8"?>
<formControlPr xmlns="http://schemas.microsoft.com/office/spreadsheetml/2009/9/main" objectType="CheckBox" fmlaLink="고객용견적!$AE$6" lockText="1" noThreeD="1"/>
</file>

<file path=xl/ctrlProps/ctrlProp32.xml><?xml version="1.0" encoding="utf-8"?>
<formControlPr xmlns="http://schemas.microsoft.com/office/spreadsheetml/2009/9/main" objectType="Drop" dropLines="2" dropStyle="combo" dx="16" fmlaLink="$AO$17" fmlaRange="$AO$18:$AO$19" noThreeD="1" sel="2" val="0"/>
</file>

<file path=xl/ctrlProps/ctrlProp33.xml><?xml version="1.0" encoding="utf-8"?>
<formControlPr xmlns="http://schemas.microsoft.com/office/spreadsheetml/2009/9/main" objectType="Drop" dropLines="3" dropStyle="combo" dx="16" fmlaLink="$AO$26" fmlaRange="AN$27:AN$29" noThreeD="1" sel="3" val="0"/>
</file>

<file path=xl/ctrlProps/ctrlProp34.xml><?xml version="1.0" encoding="utf-8"?>
<formControlPr xmlns="http://schemas.microsoft.com/office/spreadsheetml/2009/9/main" objectType="Drop" dropStyle="combo" dx="16" fmlaLink="$AQ$26" fmlaRange="$AQ$27:$AQ$28" noThreeD="1" sel="2" val="0"/>
</file>

<file path=xl/ctrlProps/ctrlProp35.xml><?xml version="1.0" encoding="utf-8"?>
<formControlPr xmlns="http://schemas.microsoft.com/office/spreadsheetml/2009/9/main" objectType="Drop" dropLines="3" dropStyle="combo" dx="16" fmlaLink="$AO$22" fmlaRange="$AN$23:$AN$25" noThreeD="1" sel="1" val="0"/>
</file>

<file path=xl/ctrlProps/ctrlProp36.xml><?xml version="1.0" encoding="utf-8"?>
<formControlPr xmlns="http://schemas.microsoft.com/office/spreadsheetml/2009/9/main" objectType="Drop" dropLines="1" dropStyle="combo" dx="16" fmlaLink="$AT$14" fmlaRange="$AT$15:$AT$20" noThreeD="1" sel="5" val="4"/>
</file>

<file path=xl/ctrlProps/ctrlProp37.xml><?xml version="1.0" encoding="utf-8"?>
<formControlPr xmlns="http://schemas.microsoft.com/office/spreadsheetml/2009/9/main" objectType="CheckBox" fmlaLink="$AU$12" lockText="1"/>
</file>

<file path=xl/ctrlProps/ctrlProp38.xml><?xml version="1.0" encoding="utf-8"?>
<formControlPr xmlns="http://schemas.microsoft.com/office/spreadsheetml/2009/9/main" objectType="CheckBox" checked="Checked" fmlaLink="$AU$11" lockText="1"/>
</file>

<file path=xl/ctrlProps/ctrlProp39.xml><?xml version="1.0" encoding="utf-8"?>
<formControlPr xmlns="http://schemas.microsoft.com/office/spreadsheetml/2009/9/main" objectType="CheckBox" fmlaLink="$AU$10" lockText="1"/>
</file>

<file path=xl/ctrlProps/ctrlProp4.xml><?xml version="1.0" encoding="utf-8"?>
<formControlPr xmlns="http://schemas.microsoft.com/office/spreadsheetml/2009/9/main" objectType="Drop" dropLines="7" dropStyle="combo" dx="16" fmlaLink="$BA$29" fmlaRange="$BA$30:$BA$36" noThreeD="1" sel="5" val="0"/>
</file>

<file path=xl/ctrlProps/ctrlProp40.xml><?xml version="1.0" encoding="utf-8"?>
<formControlPr xmlns="http://schemas.microsoft.com/office/spreadsheetml/2009/9/main" objectType="Drop" dropLines="7" dropStyle="combo" dx="16" fmlaLink="$BA$68" fmlaRange="$BA$69:$BA$75" noThreeD="1" sel="7" val="0"/>
</file>

<file path=xl/ctrlProps/ctrlProp41.xml><?xml version="1.0" encoding="utf-8"?>
<formControlPr xmlns="http://schemas.microsoft.com/office/spreadsheetml/2009/9/main" objectType="Drop" dropLines="5" dropStyle="combo" dx="16" fmlaLink="$BB$76" fmlaRange="$BA$77:$BA$81" noThreeD="1" sel="2" val="0"/>
</file>

<file path=xl/ctrlProps/ctrlProp42.xml><?xml version="1.0" encoding="utf-8"?>
<formControlPr xmlns="http://schemas.microsoft.com/office/spreadsheetml/2009/9/main" objectType="Drop" dropLines="10" dropStyle="combo" dx="16" fmlaLink="$BC$68" fmlaRange="$BC$69:$BC$76" noThreeD="1" sel="6" val="0"/>
</file>

<file path=xl/ctrlProps/ctrlProp43.xml><?xml version="1.0" encoding="utf-8"?>
<formControlPr xmlns="http://schemas.microsoft.com/office/spreadsheetml/2009/9/main" objectType="CheckBox" checked="Checked" fmlaLink="$BD$43" lockText="1" noThreeD="1"/>
</file>

<file path=xl/ctrlProps/ctrlProp44.xml><?xml version="1.0" encoding="utf-8"?>
<formControlPr xmlns="http://schemas.microsoft.com/office/spreadsheetml/2009/9/main" objectType="CheckBox" fmlaLink="고객용견적!$AE$7" lockText="1" noThreeD="1"/>
</file>

<file path=xl/ctrlProps/ctrlProp45.xml><?xml version="1.0" encoding="utf-8"?>
<formControlPr xmlns="http://schemas.microsoft.com/office/spreadsheetml/2009/9/main" objectType="Drop" dropLines="3" dropStyle="combo" dx="16" fmlaLink="$AM$22" fmlaRange="$AM$23:$AM$25" noThreeD="1" sel="3" val="0"/>
</file>

<file path=xl/ctrlProps/ctrlProp46.xml><?xml version="1.0" encoding="utf-8"?>
<formControlPr xmlns="http://schemas.microsoft.com/office/spreadsheetml/2009/9/main" objectType="Spin" dx="16" fmlaLink="$BE$85" inc="5" max="400" page="10" val="330"/>
</file>

<file path=xl/ctrlProps/ctrlProp47.xml><?xml version="1.0" encoding="utf-8"?>
<formControlPr xmlns="http://schemas.microsoft.com/office/spreadsheetml/2009/9/main" objectType="CheckBox" fmlaLink="$BD$21" lockText="1" noThreeD="1"/>
</file>

<file path=xl/ctrlProps/ctrlProp48.xml><?xml version="1.0" encoding="utf-8"?>
<formControlPr xmlns="http://schemas.microsoft.com/office/spreadsheetml/2009/9/main" objectType="CheckBox" checked="Checked" fmlaLink="$AU$11" lockText="1"/>
</file>

<file path=xl/ctrlProps/ctrlProp49.xml><?xml version="1.0" encoding="utf-8"?>
<formControlPr xmlns="http://schemas.microsoft.com/office/spreadsheetml/2009/9/main" objectType="CheckBox" checked="Checked" fmlaLink="$AU$8" lockText="1"/>
</file>

<file path=xl/ctrlProps/ctrlProp5.xml><?xml version="1.0" encoding="utf-8"?>
<formControlPr xmlns="http://schemas.microsoft.com/office/spreadsheetml/2009/9/main" objectType="Drop" dropLines="6" dropStyle="combo" dx="16" fmlaLink="$AO$4" fmlaRange="$AS$21:$AS$26" noThreeD="1" sel="1" val="0"/>
</file>

<file path=xl/ctrlProps/ctrlProp50.xml><?xml version="1.0" encoding="utf-8"?>
<formControlPr xmlns="http://schemas.microsoft.com/office/spreadsheetml/2009/9/main" objectType="CheckBox" fmlaLink="$AX$9" lockText="1"/>
</file>

<file path=xl/ctrlProps/ctrlProp51.xml><?xml version="1.0" encoding="utf-8"?>
<formControlPr xmlns="http://schemas.microsoft.com/office/spreadsheetml/2009/9/main" objectType="CheckBox" fmlaLink="$AM$18" lockText="1"/>
</file>

<file path=xl/ctrlProps/ctrlProp52.xml><?xml version="1.0" encoding="utf-8"?>
<formControlPr xmlns="http://schemas.microsoft.com/office/spreadsheetml/2009/9/main" objectType="Drop" dropLines="35" dropStyle="combo" dx="16" fmlaLink="$AM$30" fmlaRange="$AM$31:$AM$34" noThreeD="1" sel="1" val="0"/>
</file>

<file path=xl/ctrlProps/ctrlProp53.xml><?xml version="1.0" encoding="utf-8"?>
<formControlPr xmlns="http://schemas.microsoft.com/office/spreadsheetml/2009/9/main" objectType="Drop" dropLines="1" dropStyle="combo" dx="16" fmlaLink="$AT$57" fmlaRange="$AU$58:$AU$59" noThreeD="1" sel="2" val="0"/>
</file>

<file path=xl/ctrlProps/ctrlProp54.xml><?xml version="1.0" encoding="utf-8"?>
<formControlPr xmlns="http://schemas.microsoft.com/office/spreadsheetml/2009/9/main" objectType="Drop" dropLines="2" dropStyle="combo" dx="16" fmlaLink="$AP$26" fmlaRange="$AP$27:$AP$28" noThreeD="1" sel="2" val="0"/>
</file>

<file path=xl/ctrlProps/ctrlProp55.xml><?xml version="1.0" encoding="utf-8"?>
<formControlPr xmlns="http://schemas.microsoft.com/office/spreadsheetml/2009/9/main" objectType="CheckBox" fmlaLink="$AA$1" lockText="1"/>
</file>

<file path=xl/ctrlProps/ctrlProp56.xml><?xml version="1.0" encoding="utf-8"?>
<formControlPr xmlns="http://schemas.microsoft.com/office/spreadsheetml/2009/9/main" objectType="CheckBox" checked="Checked" fmlaLink="렌터카견적내기!$AU$8" lockText="1"/>
</file>

<file path=xl/ctrlProps/ctrlProp6.xml><?xml version="1.0" encoding="utf-8"?>
<formControlPr xmlns="http://schemas.microsoft.com/office/spreadsheetml/2009/9/main" objectType="Drop" dropLines="11" dropStyle="combo" dx="16" fmlaLink="$AQ$4" fmlaRange="$AP$5:$AP$14" noThreeD="1" sel="1" val="0"/>
</file>

<file path=xl/ctrlProps/ctrlProp7.xml><?xml version="1.0" encoding="utf-8"?>
<formControlPr xmlns="http://schemas.microsoft.com/office/spreadsheetml/2009/9/main" objectType="Drop" dropLines="35" dropStyle="combo" dx="16" fmlaLink="렌터카모델!$B$2" fmlaRange="렌터카모델!$B$3:$B$11" noThreeD="1" sel="2" val="0"/>
</file>

<file path=xl/ctrlProps/ctrlProp8.xml><?xml version="1.0" encoding="utf-8"?>
<formControlPr xmlns="http://schemas.microsoft.com/office/spreadsheetml/2009/9/main" objectType="Drop" dropLines="30" dropStyle="combo" dx="16" fmlaLink="렌터카모델!$D$2" fmlaRange="렌터카모델!$C$3:$C$111" noThreeD="1" sel="3" val="0"/>
</file>

<file path=xl/ctrlProps/ctrlProp9.xml><?xml version="1.0" encoding="utf-8"?>
<formControlPr xmlns="http://schemas.microsoft.com/office/spreadsheetml/2009/9/main" objectType="Drop" dropLines="2" dropStyle="combo" dx="16" fmlaLink="$AO$5" fmlaRange="$AO$6:$AO$7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13</xdr:row>
      <xdr:rowOff>9525</xdr:rowOff>
    </xdr:from>
    <xdr:to>
      <xdr:col>8</xdr:col>
      <xdr:colOff>104268</xdr:colOff>
      <xdr:row>16</xdr:row>
      <xdr:rowOff>85624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14525"/>
          <a:ext cx="4057143" cy="733324"/>
        </a:xfrm>
        <a:prstGeom prst="rect">
          <a:avLst/>
        </a:prstGeom>
      </xdr:spPr>
    </xdr:pic>
    <xdr:clientData/>
  </xdr:twoCellAnchor>
  <xdr:twoCellAnchor editAs="oneCell">
    <xdr:from>
      <xdr:col>28</xdr:col>
      <xdr:colOff>216356</xdr:colOff>
      <xdr:row>0</xdr:row>
      <xdr:rowOff>28575</xdr:rowOff>
    </xdr:from>
    <xdr:to>
      <xdr:col>30</xdr:col>
      <xdr:colOff>600075</xdr:colOff>
      <xdr:row>1</xdr:row>
      <xdr:rowOff>171450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13556" y="28575"/>
          <a:ext cx="1602919" cy="333375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112056</xdr:colOff>
      <xdr:row>22</xdr:row>
      <xdr:rowOff>11206</xdr:rowOff>
    </xdr:from>
    <xdr:to>
      <xdr:col>14</xdr:col>
      <xdr:colOff>201704</xdr:colOff>
      <xdr:row>25</xdr:row>
      <xdr:rowOff>212912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734"/>
        <a:stretch/>
      </xdr:blipFill>
      <xdr:spPr>
        <a:xfrm>
          <a:off x="6342527" y="4706471"/>
          <a:ext cx="1905001" cy="874059"/>
        </a:xfrm>
        <a:prstGeom prst="rect">
          <a:avLst/>
        </a:prstGeom>
      </xdr:spPr>
    </xdr:pic>
    <xdr:clientData/>
  </xdr:twoCellAnchor>
  <xdr:twoCellAnchor editAs="oneCell">
    <xdr:from>
      <xdr:col>10</xdr:col>
      <xdr:colOff>180188</xdr:colOff>
      <xdr:row>27</xdr:row>
      <xdr:rowOff>179293</xdr:rowOff>
    </xdr:from>
    <xdr:to>
      <xdr:col>14</xdr:col>
      <xdr:colOff>201420</xdr:colOff>
      <xdr:row>30</xdr:row>
      <xdr:rowOff>44823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8929"/>
        <a:stretch/>
      </xdr:blipFill>
      <xdr:spPr>
        <a:xfrm>
          <a:off x="5805541" y="5995146"/>
          <a:ext cx="2441703" cy="537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361950</xdr:colOff>
          <xdr:row>33</xdr:row>
          <xdr:rowOff>9525</xdr:rowOff>
        </xdr:from>
        <xdr:to>
          <xdr:col>33</xdr:col>
          <xdr:colOff>600075</xdr:colOff>
          <xdr:row>33</xdr:row>
          <xdr:rowOff>295275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828675</xdr:colOff>
          <xdr:row>21</xdr:row>
          <xdr:rowOff>0</xdr:rowOff>
        </xdr:from>
        <xdr:to>
          <xdr:col>31</xdr:col>
          <xdr:colOff>847725</xdr:colOff>
          <xdr:row>21</xdr:row>
          <xdr:rowOff>190500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152400</xdr:colOff>
          <xdr:row>3</xdr:row>
          <xdr:rowOff>9525</xdr:rowOff>
        </xdr:from>
        <xdr:to>
          <xdr:col>34</xdr:col>
          <xdr:colOff>1162050</xdr:colOff>
          <xdr:row>4</xdr:row>
          <xdr:rowOff>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19050</xdr:colOff>
          <xdr:row>22</xdr:row>
          <xdr:rowOff>9525</xdr:rowOff>
        </xdr:from>
        <xdr:to>
          <xdr:col>34</xdr:col>
          <xdr:colOff>571500</xdr:colOff>
          <xdr:row>23</xdr:row>
          <xdr:rowOff>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9525</xdr:rowOff>
        </xdr:from>
        <xdr:to>
          <xdr:col>34</xdr:col>
          <xdr:colOff>0</xdr:colOff>
          <xdr:row>15</xdr:row>
          <xdr:rowOff>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11</xdr:row>
          <xdr:rowOff>0</xdr:rowOff>
        </xdr:from>
        <xdr:to>
          <xdr:col>36</xdr:col>
          <xdr:colOff>0</xdr:colOff>
          <xdr:row>11</xdr:row>
          <xdr:rowOff>295275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5</xdr:row>
          <xdr:rowOff>9525</xdr:rowOff>
        </xdr:from>
        <xdr:to>
          <xdr:col>32</xdr:col>
          <xdr:colOff>19050</xdr:colOff>
          <xdr:row>5</xdr:row>
          <xdr:rowOff>257175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323850</xdr:colOff>
          <xdr:row>5</xdr:row>
          <xdr:rowOff>0</xdr:rowOff>
        </xdr:from>
        <xdr:to>
          <xdr:col>37</xdr:col>
          <xdr:colOff>0</xdr:colOff>
          <xdr:row>5</xdr:row>
          <xdr:rowOff>257175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5</xdr:row>
          <xdr:rowOff>0</xdr:rowOff>
        </xdr:from>
        <xdr:to>
          <xdr:col>33</xdr:col>
          <xdr:colOff>333375</xdr:colOff>
          <xdr:row>5</xdr:row>
          <xdr:rowOff>257175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542925</xdr:colOff>
          <xdr:row>22</xdr:row>
          <xdr:rowOff>9525</xdr:rowOff>
        </xdr:from>
        <xdr:to>
          <xdr:col>34</xdr:col>
          <xdr:colOff>19050</xdr:colOff>
          <xdr:row>23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561975</xdr:colOff>
          <xdr:row>22</xdr:row>
          <xdr:rowOff>9525</xdr:rowOff>
        </xdr:from>
        <xdr:to>
          <xdr:col>35</xdr:col>
          <xdr:colOff>19050</xdr:colOff>
          <xdr:row>23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21</xdr:row>
          <xdr:rowOff>9525</xdr:rowOff>
        </xdr:from>
        <xdr:to>
          <xdr:col>33</xdr:col>
          <xdr:colOff>590550</xdr:colOff>
          <xdr:row>22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21</xdr:row>
          <xdr:rowOff>9525</xdr:rowOff>
        </xdr:from>
        <xdr:to>
          <xdr:col>35</xdr:col>
          <xdr:colOff>0</xdr:colOff>
          <xdr:row>21</xdr:row>
          <xdr:rowOff>295275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933450</xdr:colOff>
          <xdr:row>33</xdr:row>
          <xdr:rowOff>9525</xdr:rowOff>
        </xdr:from>
        <xdr:to>
          <xdr:col>34</xdr:col>
          <xdr:colOff>1171575</xdr:colOff>
          <xdr:row>34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781050</xdr:colOff>
          <xdr:row>21</xdr:row>
          <xdr:rowOff>0</xdr:rowOff>
        </xdr:from>
        <xdr:to>
          <xdr:col>34</xdr:col>
          <xdr:colOff>800100</xdr:colOff>
          <xdr:row>21</xdr:row>
          <xdr:rowOff>228600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17</xdr:row>
          <xdr:rowOff>9525</xdr:rowOff>
        </xdr:from>
        <xdr:to>
          <xdr:col>33</xdr:col>
          <xdr:colOff>590550</xdr:colOff>
          <xdr:row>17</xdr:row>
          <xdr:rowOff>295275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17</xdr:row>
          <xdr:rowOff>9525</xdr:rowOff>
        </xdr:from>
        <xdr:to>
          <xdr:col>36</xdr:col>
          <xdr:colOff>19050</xdr:colOff>
          <xdr:row>18</xdr:row>
          <xdr:rowOff>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18</xdr:row>
          <xdr:rowOff>9525</xdr:rowOff>
        </xdr:from>
        <xdr:to>
          <xdr:col>34</xdr:col>
          <xdr:colOff>0</xdr:colOff>
          <xdr:row>18</xdr:row>
          <xdr:rowOff>295275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19</xdr:row>
          <xdr:rowOff>9525</xdr:rowOff>
        </xdr:from>
        <xdr:to>
          <xdr:col>33</xdr:col>
          <xdr:colOff>590550</xdr:colOff>
          <xdr:row>19</xdr:row>
          <xdr:rowOff>295275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18</xdr:row>
          <xdr:rowOff>9525</xdr:rowOff>
        </xdr:from>
        <xdr:to>
          <xdr:col>36</xdr:col>
          <xdr:colOff>19050</xdr:colOff>
          <xdr:row>19</xdr:row>
          <xdr:rowOff>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19</xdr:row>
          <xdr:rowOff>9525</xdr:rowOff>
        </xdr:from>
        <xdr:to>
          <xdr:col>36</xdr:col>
          <xdr:colOff>19050</xdr:colOff>
          <xdr:row>20</xdr:row>
          <xdr:rowOff>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24</xdr:row>
          <xdr:rowOff>247650</xdr:rowOff>
        </xdr:from>
        <xdr:to>
          <xdr:col>32</xdr:col>
          <xdr:colOff>171450</xdr:colOff>
          <xdr:row>26</xdr:row>
          <xdr:rowOff>38100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819150</xdr:colOff>
          <xdr:row>26</xdr:row>
          <xdr:rowOff>66675</xdr:rowOff>
        </xdr:from>
        <xdr:to>
          <xdr:col>31</xdr:col>
          <xdr:colOff>847725</xdr:colOff>
          <xdr:row>27</xdr:row>
          <xdr:rowOff>47625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7</xdr:row>
          <xdr:rowOff>9525</xdr:rowOff>
        </xdr:from>
        <xdr:to>
          <xdr:col>35</xdr:col>
          <xdr:colOff>238125</xdr:colOff>
          <xdr:row>7</xdr:row>
          <xdr:rowOff>295275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15</xdr:row>
          <xdr:rowOff>9525</xdr:rowOff>
        </xdr:from>
        <xdr:to>
          <xdr:col>36</xdr:col>
          <xdr:colOff>0</xdr:colOff>
          <xdr:row>15</xdr:row>
          <xdr:rowOff>295275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3</xdr:row>
          <xdr:rowOff>266700</xdr:rowOff>
        </xdr:from>
        <xdr:to>
          <xdr:col>34</xdr:col>
          <xdr:colOff>19050</xdr:colOff>
          <xdr:row>4</xdr:row>
          <xdr:rowOff>276225</xdr:rowOff>
        </xdr:to>
        <xdr:sp macro="" textlink="">
          <xdr:nvSpPr>
            <xdr:cNvPr id="3100" name="Drop Dow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58</xdr:col>
      <xdr:colOff>190500</xdr:colOff>
      <xdr:row>8</xdr:row>
      <xdr:rowOff>258536</xdr:rowOff>
    </xdr:from>
    <xdr:to>
      <xdr:col>61</xdr:col>
      <xdr:colOff>585108</xdr:colOff>
      <xdr:row>19</xdr:row>
      <xdr:rowOff>13607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39120536" y="2367643"/>
          <a:ext cx="4490358" cy="3170464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44024</xdr:colOff>
      <xdr:row>9</xdr:row>
      <xdr:rowOff>118461</xdr:rowOff>
    </xdr:from>
    <xdr:to>
      <xdr:col>61</xdr:col>
      <xdr:colOff>473051</xdr:colOff>
      <xdr:row>41</xdr:row>
      <xdr:rowOff>5042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H="1">
          <a:off x="40568569" y="2456416"/>
          <a:ext cx="4533437" cy="970599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3</xdr:row>
          <xdr:rowOff>9525</xdr:rowOff>
        </xdr:from>
        <xdr:to>
          <xdr:col>32</xdr:col>
          <xdr:colOff>47625</xdr:colOff>
          <xdr:row>4</xdr:row>
          <xdr:rowOff>0</xdr:rowOff>
        </xdr:to>
        <xdr:sp macro="" textlink="">
          <xdr:nvSpPr>
            <xdr:cNvPr id="3101" name="Drop Dow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25</xdr:row>
          <xdr:rowOff>238125</xdr:rowOff>
        </xdr:from>
        <xdr:to>
          <xdr:col>32</xdr:col>
          <xdr:colOff>238125</xdr:colOff>
          <xdr:row>27</xdr:row>
          <xdr:rowOff>38100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733425</xdr:colOff>
          <xdr:row>32</xdr:row>
          <xdr:rowOff>247650</xdr:rowOff>
        </xdr:from>
        <xdr:to>
          <xdr:col>31</xdr:col>
          <xdr:colOff>1019175</xdr:colOff>
          <xdr:row>34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9</xdr:row>
          <xdr:rowOff>19050</xdr:rowOff>
        </xdr:from>
        <xdr:to>
          <xdr:col>35</xdr:col>
          <xdr:colOff>257175</xdr:colOff>
          <xdr:row>9</xdr:row>
          <xdr:rowOff>276225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95251</xdr:colOff>
      <xdr:row>2</xdr:row>
      <xdr:rowOff>247825</xdr:rowOff>
    </xdr:from>
    <xdr:to>
      <xdr:col>9</xdr:col>
      <xdr:colOff>163287</xdr:colOff>
      <xdr:row>4</xdr:row>
      <xdr:rowOff>196316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9680" y="560789"/>
          <a:ext cx="2667000" cy="492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>
              <a:latin typeface="원신한 Medium" panose="020B0603000000000000" pitchFamily="50" charset="-127"/>
              <a:ea typeface="원신한 Medium" panose="020B0603000000000000" pitchFamily="50" charset="-127"/>
            </a:rPr>
            <a:t>장기렌터카 견적서</a:t>
          </a:r>
          <a:endParaRPr lang="en-US" altLang="ko-KR" sz="2400">
            <a:latin typeface="원신한 Medium" panose="020B0603000000000000" pitchFamily="50" charset="-127"/>
            <a:ea typeface="원신한 Medium" panose="020B0603000000000000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22</xdr:row>
          <xdr:rowOff>219075</xdr:rowOff>
        </xdr:from>
        <xdr:to>
          <xdr:col>34</xdr:col>
          <xdr:colOff>533400</xdr:colOff>
          <xdr:row>24</xdr:row>
          <xdr:rowOff>66675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19</xdr:row>
          <xdr:rowOff>314325</xdr:rowOff>
        </xdr:from>
        <xdr:to>
          <xdr:col>33</xdr:col>
          <xdr:colOff>590550</xdr:colOff>
          <xdr:row>20</xdr:row>
          <xdr:rowOff>295275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20</xdr:row>
          <xdr:rowOff>0</xdr:rowOff>
        </xdr:from>
        <xdr:to>
          <xdr:col>35</xdr:col>
          <xdr:colOff>0</xdr:colOff>
          <xdr:row>20</xdr:row>
          <xdr:rowOff>295275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3</xdr:row>
          <xdr:rowOff>9525</xdr:rowOff>
        </xdr:from>
        <xdr:to>
          <xdr:col>34</xdr:col>
          <xdr:colOff>142875</xdr:colOff>
          <xdr:row>4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19</xdr:row>
          <xdr:rowOff>304800</xdr:rowOff>
        </xdr:from>
        <xdr:to>
          <xdr:col>36</xdr:col>
          <xdr:colOff>19050</xdr:colOff>
          <xdr:row>20</xdr:row>
          <xdr:rowOff>295275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9525</xdr:colOff>
          <xdr:row>13</xdr:row>
          <xdr:rowOff>9525</xdr:rowOff>
        </xdr:from>
        <xdr:to>
          <xdr:col>36</xdr:col>
          <xdr:colOff>19050</xdr:colOff>
          <xdr:row>14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46</xdr:col>
      <xdr:colOff>773405</xdr:colOff>
      <xdr:row>1</xdr:row>
      <xdr:rowOff>199246</xdr:rowOff>
    </xdr:from>
    <xdr:to>
      <xdr:col>48</xdr:col>
      <xdr:colOff>1571</xdr:colOff>
      <xdr:row>2</xdr:row>
      <xdr:rowOff>118532</xdr:rowOff>
    </xdr:to>
    <xdr:sp macro="" textlink="">
      <xdr:nvSpPr>
        <xdr:cNvPr id="53" name="오른쪽 화살표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 rot="2114241">
          <a:off x="27946869" y="212853"/>
          <a:ext cx="616095" cy="218643"/>
        </a:xfrm>
        <a:prstGeom prst="rightArrow">
          <a:avLst/>
        </a:prstGeom>
        <a:solidFill>
          <a:srgbClr val="FFFF00">
            <a:alpha val="83000"/>
          </a:srgbClr>
        </a:solidFill>
        <a:ln w="3175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600" b="1">
            <a:solidFill>
              <a:schemeClr val="tx2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8</xdr:row>
          <xdr:rowOff>0</xdr:rowOff>
        </xdr:from>
        <xdr:to>
          <xdr:col>32</xdr:col>
          <xdr:colOff>228600</xdr:colOff>
          <xdr:row>8</xdr:row>
          <xdr:rowOff>276225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19050</xdr:colOff>
          <xdr:row>42</xdr:row>
          <xdr:rowOff>266700</xdr:rowOff>
        </xdr:from>
        <xdr:to>
          <xdr:col>32</xdr:col>
          <xdr:colOff>276225</xdr:colOff>
          <xdr:row>44</xdr:row>
          <xdr:rowOff>19050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1333500</xdr:colOff>
          <xdr:row>10</xdr:row>
          <xdr:rowOff>28575</xdr:rowOff>
        </xdr:from>
        <xdr:to>
          <xdr:col>36</xdr:col>
          <xdr:colOff>238125</xdr:colOff>
          <xdr:row>10</xdr:row>
          <xdr:rowOff>276225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22</xdr:row>
          <xdr:rowOff>9525</xdr:rowOff>
        </xdr:from>
        <xdr:to>
          <xdr:col>35</xdr:col>
          <xdr:colOff>533400</xdr:colOff>
          <xdr:row>23</xdr:row>
          <xdr:rowOff>0</xdr:rowOff>
        </xdr:to>
        <xdr:sp macro="" textlink="">
          <xdr:nvSpPr>
            <xdr:cNvPr id="3121" name="Drop Dow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523875</xdr:colOff>
          <xdr:row>22</xdr:row>
          <xdr:rowOff>9525</xdr:rowOff>
        </xdr:from>
        <xdr:to>
          <xdr:col>35</xdr:col>
          <xdr:colOff>1314450</xdr:colOff>
          <xdr:row>23</xdr:row>
          <xdr:rowOff>0</xdr:rowOff>
        </xdr:to>
        <xdr:sp macro="" textlink="">
          <xdr:nvSpPr>
            <xdr:cNvPr id="3122" name="Drop Dow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21</xdr:row>
          <xdr:rowOff>9525</xdr:rowOff>
        </xdr:from>
        <xdr:to>
          <xdr:col>36</xdr:col>
          <xdr:colOff>0</xdr:colOff>
          <xdr:row>22</xdr:row>
          <xdr:rowOff>0</xdr:rowOff>
        </xdr:to>
        <xdr:sp macro="" textlink="">
          <xdr:nvSpPr>
            <xdr:cNvPr id="3123" name="Drop Dow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95250</xdr:rowOff>
        </xdr:from>
        <xdr:to>
          <xdr:col>37</xdr:col>
          <xdr:colOff>19050</xdr:colOff>
          <xdr:row>20</xdr:row>
          <xdr:rowOff>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23</xdr:row>
          <xdr:rowOff>9525</xdr:rowOff>
        </xdr:from>
        <xdr:to>
          <xdr:col>35</xdr:col>
          <xdr:colOff>295275</xdr:colOff>
          <xdr:row>23</xdr:row>
          <xdr:rowOff>295275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24</xdr:col>
      <xdr:colOff>425825</xdr:colOff>
      <xdr:row>30</xdr:row>
      <xdr:rowOff>257734</xdr:rowOff>
    </xdr:from>
    <xdr:to>
      <xdr:col>28</xdr:col>
      <xdr:colOff>231323</xdr:colOff>
      <xdr:row>35</xdr:row>
      <xdr:rowOff>72584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951" t="10049" r="2511" b="40520"/>
        <a:stretch/>
      </xdr:blipFill>
      <xdr:spPr>
        <a:xfrm>
          <a:off x="8023413" y="9020734"/>
          <a:ext cx="2888716" cy="129402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12</xdr:row>
          <xdr:rowOff>9525</xdr:rowOff>
        </xdr:from>
        <xdr:to>
          <xdr:col>36</xdr:col>
          <xdr:colOff>0</xdr:colOff>
          <xdr:row>12</xdr:row>
          <xdr:rowOff>295275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885825</xdr:colOff>
          <xdr:row>33</xdr:row>
          <xdr:rowOff>9525</xdr:rowOff>
        </xdr:from>
        <xdr:to>
          <xdr:col>36</xdr:col>
          <xdr:colOff>0</xdr:colOff>
          <xdr:row>34</xdr:row>
          <xdr:rowOff>0</xdr:rowOff>
        </xdr:to>
        <xdr:sp macro="" textlink="">
          <xdr:nvSpPr>
            <xdr:cNvPr id="3134" name="Spinner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828675</xdr:colOff>
          <xdr:row>21</xdr:row>
          <xdr:rowOff>0</xdr:rowOff>
        </xdr:from>
        <xdr:to>
          <xdr:col>33</xdr:col>
          <xdr:colOff>19050</xdr:colOff>
          <xdr:row>21</xdr:row>
          <xdr:rowOff>190500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19050</xdr:colOff>
          <xdr:row>41</xdr:row>
          <xdr:rowOff>295275</xdr:rowOff>
        </xdr:from>
        <xdr:to>
          <xdr:col>32</xdr:col>
          <xdr:colOff>276225</xdr:colOff>
          <xdr:row>43</xdr:row>
          <xdr:rowOff>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103158</xdr:colOff>
      <xdr:row>18</xdr:row>
      <xdr:rowOff>0</xdr:rowOff>
    </xdr:from>
    <xdr:to>
      <xdr:col>9</xdr:col>
      <xdr:colOff>47928</xdr:colOff>
      <xdr:row>19</xdr:row>
      <xdr:rowOff>12700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69958" y="5168900"/>
          <a:ext cx="155767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300" b="1">
              <a:solidFill>
                <a:schemeClr val="tx1"/>
              </a:solidFill>
            </a:rPr>
            <a:t>차량 배정</a:t>
          </a:r>
          <a:r>
            <a:rPr lang="en-US" altLang="ko-KR" sz="1300" b="1">
              <a:solidFill>
                <a:schemeClr val="tx1"/>
              </a:solidFill>
            </a:rPr>
            <a:t>/</a:t>
          </a:r>
          <a:r>
            <a:rPr lang="ko-KR" altLang="en-US" sz="1300" b="1">
              <a:solidFill>
                <a:schemeClr val="tx1"/>
              </a:solidFill>
            </a:rPr>
            <a:t>확보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17</xdr:row>
          <xdr:rowOff>276225</xdr:rowOff>
        </xdr:from>
        <xdr:to>
          <xdr:col>9</xdr:col>
          <xdr:colOff>38100</xdr:colOff>
          <xdr:row>19</xdr:row>
          <xdr:rowOff>38100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31217</xdr:colOff>
      <xdr:row>1</xdr:row>
      <xdr:rowOff>137653</xdr:rowOff>
    </xdr:from>
    <xdr:to>
      <xdr:col>7</xdr:col>
      <xdr:colOff>57369</xdr:colOff>
      <xdr:row>3</xdr:row>
      <xdr:rowOff>27214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217" y="151260"/>
          <a:ext cx="1781473" cy="4610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9</xdr:row>
          <xdr:rowOff>19050</xdr:rowOff>
        </xdr:from>
        <xdr:to>
          <xdr:col>32</xdr:col>
          <xdr:colOff>257175</xdr:colOff>
          <xdr:row>9</xdr:row>
          <xdr:rowOff>295275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7</xdr:row>
          <xdr:rowOff>0</xdr:rowOff>
        </xdr:from>
        <xdr:to>
          <xdr:col>13</xdr:col>
          <xdr:colOff>295275</xdr:colOff>
          <xdr:row>7</xdr:row>
          <xdr:rowOff>276225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0</xdr:row>
          <xdr:rowOff>9525</xdr:rowOff>
        </xdr:from>
        <xdr:to>
          <xdr:col>35</xdr:col>
          <xdr:colOff>1057275</xdr:colOff>
          <xdr:row>1</xdr:row>
          <xdr:rowOff>276225</xdr:rowOff>
        </xdr:to>
        <xdr:sp macro="" textlink="">
          <xdr:nvSpPr>
            <xdr:cNvPr id="3142" name="Drop Dow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1171575</xdr:colOff>
          <xdr:row>3</xdr:row>
          <xdr:rowOff>0</xdr:rowOff>
        </xdr:from>
        <xdr:to>
          <xdr:col>36</xdr:col>
          <xdr:colOff>0</xdr:colOff>
          <xdr:row>3</xdr:row>
          <xdr:rowOff>238125</xdr:rowOff>
        </xdr:to>
        <xdr:sp macro="" textlink="">
          <xdr:nvSpPr>
            <xdr:cNvPr id="3158" name="Drop Dow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9525</xdr:colOff>
          <xdr:row>19</xdr:row>
          <xdr:rowOff>304800</xdr:rowOff>
        </xdr:from>
        <xdr:to>
          <xdr:col>37</xdr:col>
          <xdr:colOff>19050</xdr:colOff>
          <xdr:row>21</xdr:row>
          <xdr:rowOff>0</xdr:rowOff>
        </xdr:to>
        <xdr:sp macro="" textlink="">
          <xdr:nvSpPr>
            <xdr:cNvPr id="3159" name="Drop Dow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79926</xdr:colOff>
      <xdr:row>3</xdr:row>
      <xdr:rowOff>59632</xdr:rowOff>
    </xdr:from>
    <xdr:to>
      <xdr:col>11</xdr:col>
      <xdr:colOff>390525</xdr:colOff>
      <xdr:row>5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60926" y="554932"/>
          <a:ext cx="2844249" cy="45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800">
              <a:latin typeface="원신한 Bold" panose="020B0803000000000000" pitchFamily="50" charset="-127"/>
              <a:ea typeface="원신한 Bold" panose="020B0803000000000000" pitchFamily="50" charset="-127"/>
            </a:rPr>
            <a:t>장기렌터카 고객 견적서</a:t>
          </a:r>
          <a:endParaRPr lang="en-US" altLang="ko-KR" sz="1800">
            <a:latin typeface="원신한 Bold" panose="020B0803000000000000" pitchFamily="50" charset="-127"/>
            <a:ea typeface="원신한 Bold" panose="020B0803000000000000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0</xdr:row>
          <xdr:rowOff>85725</xdr:rowOff>
        </xdr:from>
        <xdr:to>
          <xdr:col>19</xdr:col>
          <xdr:colOff>85725</xdr:colOff>
          <xdr:row>3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22</xdr:col>
      <xdr:colOff>183030</xdr:colOff>
      <xdr:row>18</xdr:row>
      <xdr:rowOff>21920</xdr:rowOff>
    </xdr:from>
    <xdr:to>
      <xdr:col>24</xdr:col>
      <xdr:colOff>407567</xdr:colOff>
      <xdr:row>20</xdr:row>
      <xdr:rowOff>192736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3889070"/>
          <a:ext cx="664743" cy="675641"/>
        </a:xfrm>
        <a:prstGeom prst="rect">
          <a:avLst/>
        </a:prstGeom>
      </xdr:spPr>
    </xdr:pic>
    <xdr:clientData/>
  </xdr:twoCellAnchor>
  <xdr:twoCellAnchor>
    <xdr:from>
      <xdr:col>16</xdr:col>
      <xdr:colOff>135505</xdr:colOff>
      <xdr:row>17</xdr:row>
      <xdr:rowOff>196702</xdr:rowOff>
    </xdr:from>
    <xdr:to>
      <xdr:col>20</xdr:col>
      <xdr:colOff>211546</xdr:colOff>
      <xdr:row>18</xdr:row>
      <xdr:rowOff>198783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782048" y="3874180"/>
          <a:ext cx="1194194" cy="233994"/>
        </a:xfrm>
        <a:prstGeom prst="rect">
          <a:avLst/>
        </a:prstGeom>
        <a:solidFill>
          <a:srgbClr val="FFFF00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0" baseline="0">
              <a:solidFill>
                <a:srgbClr val="FF0000"/>
              </a:solidFill>
              <a:latin typeface="원신한 Bold" panose="020B0803000000000000" pitchFamily="50" charset="-127"/>
              <a:ea typeface="원신한 Bold" panose="020B0803000000000000" pitchFamily="50" charset="-127"/>
            </a:rPr>
            <a:t> </a:t>
          </a:r>
          <a:r>
            <a:rPr lang="ko-KR" altLang="en-US" sz="1000" b="0">
              <a:solidFill>
                <a:srgbClr val="FF0000"/>
              </a:solidFill>
              <a:latin typeface="원신한 Bold" panose="020B0803000000000000" pitchFamily="50" charset="-127"/>
              <a:ea typeface="원신한 Bold" panose="020B0803000000000000" pitchFamily="50" charset="-127"/>
            </a:rPr>
            <a:t>차량 배정</a:t>
          </a:r>
          <a:r>
            <a:rPr lang="en-US" altLang="ko-KR" sz="1000" b="0">
              <a:solidFill>
                <a:srgbClr val="FF0000"/>
              </a:solidFill>
              <a:latin typeface="원신한 Bold" panose="020B0803000000000000" pitchFamily="50" charset="-127"/>
              <a:ea typeface="원신한 Bold" panose="020B0803000000000000" pitchFamily="50" charset="-127"/>
            </a:rPr>
            <a:t>/</a:t>
          </a:r>
          <a:r>
            <a:rPr lang="ko-KR" altLang="en-US" sz="1000" b="0">
              <a:solidFill>
                <a:srgbClr val="FF0000"/>
              </a:solidFill>
              <a:latin typeface="원신한 Bold" panose="020B0803000000000000" pitchFamily="50" charset="-127"/>
              <a:ea typeface="원신한 Bold" panose="020B0803000000000000" pitchFamily="50" charset="-127"/>
            </a:rPr>
            <a:t>확보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17</xdr:row>
          <xdr:rowOff>171450</xdr:rowOff>
        </xdr:from>
        <xdr:to>
          <xdr:col>20</xdr:col>
          <xdr:colOff>180975</xdr:colOff>
          <xdr:row>19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266701</xdr:colOff>
      <xdr:row>1</xdr:row>
      <xdr:rowOff>103320</xdr:rowOff>
    </xdr:from>
    <xdr:to>
      <xdr:col>4</xdr:col>
      <xdr:colOff>66675</xdr:colOff>
      <xdr:row>3</xdr:row>
      <xdr:rowOff>94608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6701" y="331920"/>
          <a:ext cx="1019174" cy="2579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82231</xdr:rowOff>
    </xdr:from>
    <xdr:to>
      <xdr:col>8</xdr:col>
      <xdr:colOff>223154</xdr:colOff>
      <xdr:row>5</xdr:row>
      <xdr:rowOff>16226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2201956" y="82231"/>
          <a:ext cx="2548374" cy="718407"/>
          <a:chOff x="1512" y="481"/>
          <a:chExt cx="1280" cy="405"/>
        </a:xfrm>
      </xdr:grpSpPr>
      <xdr:sp macro="" textlink="">
        <xdr:nvSpPr>
          <xdr:cNvPr id="3" name="Text Box 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67" y="481"/>
            <a:ext cx="790" cy="4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5pPr>
            <a:lvl6pPr marL="22860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6pPr>
            <a:lvl7pPr marL="27432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7pPr>
            <a:lvl8pPr marL="32004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8pPr>
            <a:lvl9pPr marL="36576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9pPr>
          </a:lstStyle>
          <a:p>
            <a:pPr algn="ctr" eaLnBrk="1" hangingPunct="1">
              <a:spcBef>
                <a:spcPct val="0"/>
              </a:spcBef>
              <a:buFontTx/>
              <a:buNone/>
            </a:pPr>
            <a:r>
              <a:rPr lang="ko-KR" altLang="en-US" sz="2400" b="1">
                <a:latin typeface="원신한 Light" pitchFamily="50" charset="-127"/>
                <a:ea typeface="원신한 Light" pitchFamily="50" charset="-127"/>
              </a:rPr>
              <a:t>확   약  서</a:t>
            </a:r>
          </a:p>
        </xdr:txBody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512" y="826"/>
            <a:ext cx="1280" cy="0"/>
          </a:xfrm>
          <a:prstGeom prst="line">
            <a:avLst/>
          </a:prstGeom>
          <a:noFill/>
          <a:ln w="57150" cmpd="thinThick">
            <a:solidFill>
              <a:schemeClr val="tx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5pPr>
            <a:lvl6pPr marL="22860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6pPr>
            <a:lvl7pPr marL="27432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7pPr>
            <a:lvl8pPr marL="32004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8pPr>
            <a:lvl9pPr marL="3657600" algn="l" defTabSz="914400" rtl="0" eaLnBrk="1" latinLnBrk="1" hangingPunct="1">
              <a:defRPr kumimoji="1" sz="1000" kern="1200">
                <a:solidFill>
                  <a:schemeClr val="tx1"/>
                </a:solidFill>
                <a:latin typeface="Arial" charset="0"/>
                <a:ea typeface="바탕체" pitchFamily="17" charset="-127"/>
                <a:cs typeface="+mn-cs"/>
              </a:defRPr>
            </a:lvl9pPr>
          </a:lstStyle>
          <a:p>
            <a:endParaRPr lang="ko-KR" altLang="en-US"/>
          </a:p>
        </xdr:txBody>
      </xdr:sp>
    </xdr:grpSp>
    <xdr:clientData/>
  </xdr:twoCellAnchor>
  <xdr:twoCellAnchor>
    <xdr:from>
      <xdr:col>1</xdr:col>
      <xdr:colOff>104774</xdr:colOff>
      <xdr:row>14</xdr:row>
      <xdr:rowOff>178035</xdr:rowOff>
    </xdr:from>
    <xdr:to>
      <xdr:col>11</xdr:col>
      <xdr:colOff>600075</xdr:colOff>
      <xdr:row>34</xdr:row>
      <xdr:rowOff>99330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390524" y="2454510"/>
          <a:ext cx="6591301" cy="3140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val="00000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1. </a:t>
          </a:r>
          <a:r>
            <a:rPr lang="ko-KR" altLang="en-US" sz="1100">
              <a:latin typeface="+mj-ea"/>
              <a:ea typeface="+mj-ea"/>
            </a:rPr>
            <a:t>리스</a:t>
          </a:r>
          <a:r>
            <a:rPr lang="en-US" altLang="ko-KR" sz="1100">
              <a:latin typeface="+mj-ea"/>
              <a:ea typeface="+mj-ea"/>
            </a:rPr>
            <a:t>/</a:t>
          </a:r>
          <a:r>
            <a:rPr lang="ko-KR" altLang="en-US" sz="1100">
              <a:latin typeface="+mj-ea"/>
              <a:ea typeface="+mj-ea"/>
            </a:rPr>
            <a:t>렌트이용자는 상기 리스 계약에 대해 중도 해지시 차량을 인수</a:t>
          </a:r>
          <a:r>
            <a:rPr lang="en-US" altLang="ko-KR" sz="1100">
              <a:latin typeface="+mj-ea"/>
              <a:ea typeface="+mj-ea"/>
            </a:rPr>
            <a:t>(</a:t>
          </a:r>
          <a:r>
            <a:rPr lang="ko-KR" altLang="en-US" sz="1100">
              <a:latin typeface="+mj-ea"/>
              <a:ea typeface="+mj-ea"/>
            </a:rPr>
            <a:t>매입</a:t>
          </a:r>
          <a:r>
            <a:rPr lang="en-US" altLang="ko-KR" sz="1100">
              <a:latin typeface="+mj-ea"/>
              <a:ea typeface="+mj-ea"/>
            </a:rPr>
            <a:t>)</a:t>
          </a:r>
          <a:r>
            <a:rPr lang="ko-KR" altLang="en-US" sz="1100">
              <a:latin typeface="+mj-ea"/>
              <a:ea typeface="+mj-ea"/>
            </a:rPr>
            <a:t>하도록 하며</a:t>
          </a:r>
          <a:r>
            <a:rPr lang="en-US" altLang="ko-KR" sz="1100">
              <a:latin typeface="+mj-ea"/>
              <a:ea typeface="+mj-ea"/>
            </a:rPr>
            <a:t> </a:t>
          </a: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    </a:t>
          </a:r>
          <a:r>
            <a:rPr lang="ko-KR" altLang="en-US" sz="1100">
              <a:latin typeface="+mj-ea"/>
              <a:ea typeface="+mj-ea"/>
            </a:rPr>
            <a:t>만기 해지시 인수</a:t>
          </a:r>
          <a:r>
            <a:rPr lang="en-US" altLang="ko-KR" sz="1100">
              <a:latin typeface="+mj-ea"/>
              <a:ea typeface="+mj-ea"/>
            </a:rPr>
            <a:t>(</a:t>
          </a:r>
          <a:r>
            <a:rPr lang="ko-KR" altLang="en-US" sz="1100">
              <a:latin typeface="+mj-ea"/>
              <a:ea typeface="+mj-ea"/>
            </a:rPr>
            <a:t>매입</a:t>
          </a:r>
          <a:r>
            <a:rPr lang="en-US" altLang="ko-KR" sz="1100">
              <a:latin typeface="+mj-ea"/>
              <a:ea typeface="+mj-ea"/>
            </a:rPr>
            <a:t>)</a:t>
          </a:r>
          <a:r>
            <a:rPr lang="ko-KR" altLang="en-US" sz="1100">
              <a:latin typeface="+mj-ea"/>
              <a:ea typeface="+mj-ea"/>
            </a:rPr>
            <a:t>또는 재리스</a:t>
          </a:r>
          <a:r>
            <a:rPr lang="en-US" altLang="ko-KR" sz="1100">
              <a:latin typeface="+mj-ea"/>
              <a:ea typeface="+mj-ea"/>
            </a:rPr>
            <a:t>/</a:t>
          </a:r>
          <a:r>
            <a:rPr lang="ko-KR" altLang="en-US" sz="1100">
              <a:latin typeface="+mj-ea"/>
              <a:ea typeface="+mj-ea"/>
            </a:rPr>
            <a:t>재렌트를 하도록 한다</a:t>
          </a:r>
          <a:r>
            <a:rPr lang="en-US" altLang="ko-KR" sz="1100">
              <a:latin typeface="+mj-ea"/>
              <a:ea typeface="+mj-ea"/>
            </a:rPr>
            <a:t>.</a:t>
          </a: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2. </a:t>
          </a:r>
          <a:r>
            <a:rPr lang="ko-KR" altLang="en-US" sz="1100">
              <a:latin typeface="+mj-ea"/>
              <a:ea typeface="+mj-ea"/>
            </a:rPr>
            <a:t>리스</a:t>
          </a:r>
          <a:r>
            <a:rPr lang="en-US" altLang="ko-KR" sz="1100">
              <a:latin typeface="+mj-ea"/>
              <a:ea typeface="+mj-ea"/>
            </a:rPr>
            <a:t>/</a:t>
          </a:r>
          <a:r>
            <a:rPr lang="ko-KR" altLang="en-US" sz="1100">
              <a:latin typeface="+mj-ea"/>
              <a:ea typeface="+mj-ea"/>
            </a:rPr>
            <a:t>렌트 이용자는 리스 또는 렌트 해지시 차량반납 해지는 불가하며</a:t>
          </a:r>
          <a:r>
            <a:rPr lang="en-US" altLang="ko-KR" sz="1100">
              <a:latin typeface="+mj-ea"/>
              <a:ea typeface="+mj-ea"/>
            </a:rPr>
            <a:t>, </a:t>
          </a:r>
          <a:r>
            <a:rPr lang="ko-KR" altLang="en-US" sz="1100">
              <a:latin typeface="+mj-ea"/>
              <a:ea typeface="+mj-ea"/>
            </a:rPr>
            <a:t>반납 해지의 경우 </a:t>
          </a:r>
          <a:endParaRPr lang="en-US" altLang="ko-KR" sz="1100">
            <a:latin typeface="+mj-ea"/>
            <a:ea typeface="+mj-ea"/>
          </a:endParaRP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    </a:t>
          </a:r>
          <a:r>
            <a:rPr lang="ko-KR" altLang="en-US" sz="1100">
              <a:latin typeface="+mj-ea"/>
              <a:ea typeface="+mj-ea"/>
            </a:rPr>
            <a:t>차량 반납에</a:t>
          </a:r>
          <a:r>
            <a:rPr lang="en-US" altLang="ko-KR" sz="1100">
              <a:latin typeface="+mj-ea"/>
              <a:ea typeface="+mj-ea"/>
            </a:rPr>
            <a:t> </a:t>
          </a:r>
          <a:r>
            <a:rPr lang="ko-KR" altLang="en-US" sz="1100">
              <a:latin typeface="+mj-ea"/>
              <a:ea typeface="+mj-ea"/>
            </a:rPr>
            <a:t>따른 수수료를 신한카드㈜로 납부한다</a:t>
          </a:r>
          <a:r>
            <a:rPr lang="en-US" altLang="ko-KR" sz="1100">
              <a:latin typeface="+mj-ea"/>
              <a:ea typeface="+mj-ea"/>
            </a:rPr>
            <a:t>. </a:t>
          </a:r>
          <a:r>
            <a:rPr lang="ko-KR" altLang="en-US" sz="1100">
              <a:latin typeface="+mj-ea"/>
              <a:ea typeface="+mj-ea"/>
            </a:rPr>
            <a:t>반납수수료는 리스 또는 렌터카 약관에서 </a:t>
          </a:r>
          <a:endParaRPr lang="en-US" altLang="ko-KR" sz="1100">
            <a:latin typeface="+mj-ea"/>
            <a:ea typeface="+mj-ea"/>
          </a:endParaRP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    </a:t>
          </a:r>
          <a:r>
            <a:rPr lang="ko-KR" altLang="en-US" sz="1100">
              <a:latin typeface="+mj-ea"/>
              <a:ea typeface="+mj-ea"/>
            </a:rPr>
            <a:t>규정하는 중도해지시 발생하는 중도해지수수료와는 별도로 부과된다</a:t>
          </a:r>
          <a:r>
            <a:rPr lang="en-US" altLang="ko-KR" sz="1100">
              <a:latin typeface="+mj-ea"/>
              <a:ea typeface="+mj-ea"/>
            </a:rPr>
            <a:t>.</a:t>
          </a:r>
          <a:endParaRPr lang="en-US" altLang="ko-KR" sz="1100">
            <a:solidFill>
              <a:srgbClr val="FF0000"/>
            </a:solidFill>
            <a:latin typeface="+mj-ea"/>
            <a:ea typeface="+mj-ea"/>
          </a:endParaRP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 3.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리스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/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렌트이용자는 반납수수료를 아래의 산식에 의거 납부하도록 한다</a:t>
          </a:r>
          <a:endParaRPr lang="en-US" altLang="ko-KR" sz="1100">
            <a:solidFill>
              <a:srgbClr val="FF0000"/>
            </a:solidFill>
            <a:latin typeface="+mj-ea"/>
            <a:ea typeface="+mj-ea"/>
          </a:endParaRP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     -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운용리스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: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리스실행시 설정한 차량가격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× </a:t>
          </a:r>
          <a:r>
            <a:rPr lang="en-US" altLang="ko-KR" sz="1100" u="sng">
              <a:solidFill>
                <a:srgbClr val="FF0000"/>
              </a:solidFill>
              <a:latin typeface="+mj-ea"/>
              <a:ea typeface="+mj-ea"/>
            </a:rPr>
            <a:t>   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%</a:t>
          </a: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     -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렌터카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: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렌터카 실행시 설정한 차량가격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×</a:t>
          </a:r>
          <a:r>
            <a:rPr lang="en-US" altLang="ko-KR" sz="1100" u="sng">
              <a:solidFill>
                <a:srgbClr val="FF0000"/>
              </a:solidFill>
              <a:latin typeface="+mj-ea"/>
              <a:ea typeface="+mj-ea"/>
            </a:rPr>
            <a:t>    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%</a:t>
          </a: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      </a:t>
          </a:r>
          <a:r>
            <a:rPr lang="ko-KR" altLang="en-US" sz="1100">
              <a:solidFill>
                <a:srgbClr val="FF0000"/>
              </a:solidFill>
              <a:latin typeface="+mj-ea"/>
              <a:ea typeface="+mj-ea"/>
            </a:rPr>
            <a:t>→ 차량가격은 리스 또는 렌터카 계약서상 기재된 차량가격을 준용토록 한다</a:t>
          </a:r>
          <a:r>
            <a:rPr lang="en-US" altLang="ko-KR" sz="1100">
              <a:solidFill>
                <a:srgbClr val="FF0000"/>
              </a:solidFill>
              <a:latin typeface="+mj-ea"/>
              <a:ea typeface="+mj-ea"/>
            </a:rPr>
            <a:t>. </a:t>
          </a:r>
          <a:endParaRPr lang="en-US" altLang="ko-KR" sz="1100">
            <a:latin typeface="+mj-ea"/>
            <a:ea typeface="+mj-ea"/>
          </a:endParaRPr>
        </a:p>
        <a:p>
          <a:pPr eaLnBrk="1" hangingPunct="1">
            <a:lnSpc>
              <a:spcPct val="80000"/>
            </a:lnSpc>
            <a:spcBef>
              <a:spcPct val="50000"/>
            </a:spcBef>
            <a:buFontTx/>
            <a:buNone/>
          </a:pPr>
          <a:r>
            <a:rPr lang="en-US" altLang="ko-KR" sz="1100">
              <a:latin typeface="+mj-ea"/>
              <a:ea typeface="+mj-ea"/>
            </a:rPr>
            <a:t>  4. </a:t>
          </a:r>
          <a:r>
            <a:rPr lang="ko-KR" altLang="en-US" sz="1100">
              <a:latin typeface="+mj-ea"/>
              <a:ea typeface="+mj-ea"/>
            </a:rPr>
            <a:t>기타 리스 또는 렌터카와 관련된 계약 사항은 리스 또는 렌터카 계약서를 준용하도록 한다</a:t>
          </a:r>
          <a:r>
            <a:rPr lang="en-US" altLang="ko-KR" sz="1100">
              <a:latin typeface="+mj-ea"/>
              <a:ea typeface="+mj-ea"/>
            </a:rPr>
            <a:t>.</a:t>
          </a:r>
        </a:p>
      </xdr:txBody>
    </xdr:sp>
    <xdr:clientData/>
  </xdr:twoCellAnchor>
  <xdr:twoCellAnchor>
    <xdr:from>
      <xdr:col>1</xdr:col>
      <xdr:colOff>173452</xdr:colOff>
      <xdr:row>6</xdr:row>
      <xdr:rowOff>34274</xdr:rowOff>
    </xdr:from>
    <xdr:to>
      <xdr:col>4</xdr:col>
      <xdr:colOff>478252</xdr:colOff>
      <xdr:row>9</xdr:row>
      <xdr:rowOff>23050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459202" y="948674"/>
          <a:ext cx="2133600" cy="445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val="00000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algn="ctr" eaLnBrk="1" hangingPunct="1">
            <a:spcBef>
              <a:spcPct val="50000"/>
            </a:spcBef>
            <a:buFontTx/>
            <a:buNone/>
          </a:pPr>
          <a:r>
            <a:rPr lang="ko-KR" altLang="en-US" sz="1400" b="1">
              <a:latin typeface="원신한 Light" pitchFamily="50" charset="-127"/>
              <a:ea typeface="원신한 Light" pitchFamily="50" charset="-127"/>
            </a:rPr>
            <a:t>신한카드 주식회사  귀중</a:t>
          </a:r>
        </a:p>
      </xdr:txBody>
    </xdr:sp>
    <xdr:clientData/>
  </xdr:twoCellAnchor>
  <xdr:twoCellAnchor>
    <xdr:from>
      <xdr:col>8</xdr:col>
      <xdr:colOff>285750</xdr:colOff>
      <xdr:row>40</xdr:row>
      <xdr:rowOff>67362</xdr:rowOff>
    </xdr:from>
    <xdr:to>
      <xdr:col>11</xdr:col>
      <xdr:colOff>390525</xdr:colOff>
      <xdr:row>43</xdr:row>
      <xdr:rowOff>12965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4838700" y="6477687"/>
          <a:ext cx="1933575" cy="402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spcBef>
              <a:spcPct val="0"/>
            </a:spcBef>
            <a:buFontTx/>
            <a:buNone/>
          </a:pPr>
          <a:r>
            <a:rPr lang="en-US" altLang="ko-KR" sz="1400" b="1">
              <a:latin typeface="+mj-ea"/>
              <a:ea typeface="+mj-ea"/>
            </a:rPr>
            <a:t>20  </a:t>
          </a:r>
          <a:r>
            <a:rPr lang="ko-KR" altLang="en-US" sz="1400" b="1">
              <a:latin typeface="+mj-ea"/>
              <a:ea typeface="+mj-ea"/>
            </a:rPr>
            <a:t>년    월     일</a:t>
          </a:r>
        </a:p>
      </xdr:txBody>
    </xdr:sp>
    <xdr:clientData/>
  </xdr:twoCellAnchor>
  <xdr:twoCellAnchor>
    <xdr:from>
      <xdr:col>1</xdr:col>
      <xdr:colOff>9525</xdr:colOff>
      <xdr:row>0</xdr:row>
      <xdr:rowOff>1</xdr:rowOff>
    </xdr:from>
    <xdr:to>
      <xdr:col>11</xdr:col>
      <xdr:colOff>816429</xdr:colOff>
      <xdr:row>56</xdr:row>
      <xdr:rowOff>40823</xdr:rowOff>
    </xdr:to>
    <xdr:sp macro="" textlink="">
      <xdr:nvSpPr>
        <xdr:cNvPr id="8" name="Rectangle 12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Arrowheads="1"/>
        </xdr:cNvSpPr>
      </xdr:nvSpPr>
      <xdr:spPr bwMode="auto">
        <a:xfrm>
          <a:off x="295275" y="1"/>
          <a:ext cx="6760029" cy="8889547"/>
        </a:xfrm>
        <a:prstGeom prst="rect">
          <a:avLst/>
        </a:prstGeom>
        <a:noFill/>
        <a:ln w="1587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spcBef>
              <a:spcPct val="0"/>
            </a:spcBef>
            <a:buFontTx/>
            <a:buNone/>
          </a:pPr>
          <a:endParaRPr lang="ko-KR" altLang="en-US" sz="1000">
            <a:latin typeface="원신한 Light" pitchFamily="50" charset="-127"/>
            <a:ea typeface="원신한 Light" pitchFamily="50" charset="-127"/>
          </a:endParaRPr>
        </a:p>
      </xdr:txBody>
    </xdr:sp>
    <xdr:clientData/>
  </xdr:twoCellAnchor>
  <xdr:twoCellAnchor>
    <xdr:from>
      <xdr:col>1</xdr:col>
      <xdr:colOff>231775</xdr:colOff>
      <xdr:row>43</xdr:row>
      <xdr:rowOff>53522</xdr:rowOff>
    </xdr:from>
    <xdr:to>
      <xdr:col>11</xdr:col>
      <xdr:colOff>571501</xdr:colOff>
      <xdr:row>49</xdr:row>
      <xdr:rowOff>52748</xdr:rowOff>
    </xdr:to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517525" y="6921047"/>
          <a:ext cx="6435726" cy="913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val="00000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lnSpc>
              <a:spcPct val="140000"/>
            </a:lnSpc>
            <a:spcBef>
              <a:spcPct val="50000"/>
            </a:spcBef>
            <a:buFontTx/>
            <a:buNone/>
          </a:pPr>
          <a:r>
            <a:rPr lang="ko-KR" altLang="en-US" sz="1100">
              <a:latin typeface="+mj-ea"/>
              <a:ea typeface="+mj-ea"/>
            </a:rPr>
            <a:t>리스</a:t>
          </a:r>
          <a:r>
            <a:rPr lang="en-US" altLang="ko-KR" sz="1100">
              <a:latin typeface="+mj-ea"/>
              <a:ea typeface="+mj-ea"/>
            </a:rPr>
            <a:t>/</a:t>
          </a:r>
          <a:r>
            <a:rPr lang="ko-KR" altLang="en-US" sz="1100">
              <a:latin typeface="+mj-ea"/>
              <a:ea typeface="+mj-ea"/>
            </a:rPr>
            <a:t>렌트이용자 </a:t>
          </a:r>
          <a:r>
            <a:rPr lang="en-US" altLang="ko-KR" sz="1100">
              <a:latin typeface="+mj-ea"/>
              <a:ea typeface="+mj-ea"/>
            </a:rPr>
            <a:t>:  </a:t>
          </a:r>
          <a:r>
            <a:rPr lang="ko-KR" altLang="en-US" sz="1100">
              <a:latin typeface="+mj-ea"/>
              <a:ea typeface="+mj-ea"/>
            </a:rPr>
            <a:t>성명   </a:t>
          </a:r>
          <a:r>
            <a:rPr lang="en-US" altLang="ko-KR" sz="1100">
              <a:latin typeface="+mj-ea"/>
              <a:ea typeface="+mj-ea"/>
            </a:rPr>
            <a:t>(</a:t>
          </a:r>
          <a:r>
            <a:rPr lang="ko-KR" altLang="en-US" sz="1100">
              <a:latin typeface="+mj-ea"/>
              <a:ea typeface="+mj-ea"/>
            </a:rPr>
            <a:t>상호</a:t>
          </a:r>
          <a:r>
            <a:rPr lang="en-US" altLang="ko-KR" sz="1100">
              <a:latin typeface="+mj-ea"/>
              <a:ea typeface="+mj-ea"/>
            </a:rPr>
            <a:t>)                </a:t>
          </a:r>
          <a:r>
            <a:rPr lang="ko-KR" altLang="en-US" sz="1100">
              <a:latin typeface="+mj-ea"/>
              <a:ea typeface="+mj-ea"/>
            </a:rPr>
            <a:t>은</a:t>
          </a:r>
          <a:r>
            <a:rPr lang="en-US" altLang="ko-KR" sz="1100">
              <a:latin typeface="+mj-ea"/>
              <a:ea typeface="+mj-ea"/>
            </a:rPr>
            <a:t>(</a:t>
          </a:r>
          <a:r>
            <a:rPr lang="ko-KR" altLang="en-US" sz="1100">
              <a:latin typeface="+mj-ea"/>
              <a:ea typeface="+mj-ea"/>
            </a:rPr>
            <a:t>는</a:t>
          </a:r>
          <a:r>
            <a:rPr lang="en-US" altLang="ko-KR" sz="1100">
              <a:latin typeface="+mj-ea"/>
              <a:ea typeface="+mj-ea"/>
            </a:rPr>
            <a:t>)</a:t>
          </a:r>
          <a:r>
            <a:rPr lang="ko-KR" altLang="en-US" sz="1100">
              <a:latin typeface="+mj-ea"/>
              <a:ea typeface="+mj-ea"/>
            </a:rPr>
            <a:t> 위 내용에 대해 충분히 고지를 받고 확약함</a:t>
          </a:r>
          <a:endParaRPr lang="en-US" altLang="ko-KR" sz="1100">
            <a:latin typeface="+mj-ea"/>
            <a:ea typeface="+mj-ea"/>
          </a:endParaRPr>
        </a:p>
        <a:p>
          <a:pPr eaLnBrk="1" hangingPunct="1">
            <a:lnSpc>
              <a:spcPct val="140000"/>
            </a:lnSpc>
            <a:spcBef>
              <a:spcPct val="50000"/>
            </a:spcBef>
            <a:buFontTx/>
            <a:buNone/>
          </a:pPr>
          <a:r>
            <a:rPr lang="ko-KR" altLang="en-US" sz="1100">
              <a:latin typeface="+mj-ea"/>
              <a:ea typeface="+mj-ea"/>
            </a:rPr>
            <a:t>주민번호</a:t>
          </a:r>
          <a:r>
            <a:rPr lang="en-US" altLang="ko-KR" sz="1100">
              <a:latin typeface="+mj-ea"/>
              <a:ea typeface="+mj-ea"/>
            </a:rPr>
            <a:t>/</a:t>
          </a:r>
          <a:r>
            <a:rPr lang="ko-KR" altLang="en-US" sz="1100">
              <a:latin typeface="+mj-ea"/>
              <a:ea typeface="+mj-ea"/>
            </a:rPr>
            <a:t>사업자번호 </a:t>
          </a:r>
          <a:r>
            <a:rPr lang="en-US" altLang="ko-KR" sz="1100">
              <a:latin typeface="+mj-ea"/>
              <a:ea typeface="+mj-ea"/>
            </a:rPr>
            <a:t>:</a:t>
          </a:r>
          <a:r>
            <a:rPr lang="ko-KR" altLang="en-US" sz="1100">
              <a:latin typeface="+mj-ea"/>
              <a:ea typeface="+mj-ea"/>
            </a:rPr>
            <a:t>                                                                                     </a:t>
          </a:r>
          <a:r>
            <a:rPr lang="en-US" altLang="ko-KR" sz="1100">
              <a:latin typeface="+mj-ea"/>
              <a:ea typeface="+mj-ea"/>
            </a:rPr>
            <a:t>(</a:t>
          </a:r>
          <a:r>
            <a:rPr lang="ko-KR" altLang="en-US" sz="1100">
              <a:latin typeface="+mj-ea"/>
              <a:ea typeface="+mj-ea"/>
            </a:rPr>
            <a:t>인</a:t>
          </a:r>
          <a:r>
            <a:rPr lang="en-US" altLang="ko-KR" sz="1100">
              <a:latin typeface="+mj-ea"/>
              <a:ea typeface="+mj-ea"/>
            </a:rPr>
            <a:t>)</a:t>
          </a:r>
        </a:p>
      </xdr:txBody>
    </xdr:sp>
    <xdr:clientData/>
  </xdr:twoCellAnchor>
  <xdr:twoCellAnchor>
    <xdr:from>
      <xdr:col>10</xdr:col>
      <xdr:colOff>320449</xdr:colOff>
      <xdr:row>0</xdr:row>
      <xdr:rowOff>3175</xdr:rowOff>
    </xdr:from>
    <xdr:to>
      <xdr:col>12</xdr:col>
      <xdr:colOff>3921</xdr:colOff>
      <xdr:row>2</xdr:row>
      <xdr:rowOff>28477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>
          <a:spLocks noChangeArrowheads="1"/>
        </xdr:cNvSpPr>
      </xdr:nvSpPr>
      <xdr:spPr bwMode="auto">
        <a:xfrm>
          <a:off x="6092599" y="3175"/>
          <a:ext cx="969347" cy="330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spcBef>
              <a:spcPct val="0"/>
            </a:spcBef>
            <a:buFontTx/>
            <a:buNone/>
          </a:pPr>
          <a:r>
            <a:rPr lang="ko-KR" altLang="en-US" sz="1000">
              <a:latin typeface="원신한 Light" pitchFamily="50" charset="-127"/>
              <a:ea typeface="원신한 Light" pitchFamily="50" charset="-127"/>
            </a:rPr>
            <a:t>■ </a:t>
          </a:r>
          <a:r>
            <a:rPr lang="en-US" altLang="ko-KR" sz="1000">
              <a:latin typeface="원신한 Light" pitchFamily="50" charset="-127"/>
              <a:ea typeface="원신한 Light" pitchFamily="50" charset="-127"/>
            </a:rPr>
            <a:t>2022.01</a:t>
          </a:r>
          <a:endParaRPr lang="ko-KR" altLang="en-US" sz="1000">
            <a:latin typeface="원신한 Light" pitchFamily="50" charset="-127"/>
            <a:ea typeface="원신한 Light" pitchFamily="50" charset="-127"/>
          </a:endParaRPr>
        </a:p>
      </xdr:txBody>
    </xdr:sp>
    <xdr:clientData/>
  </xdr:twoCellAnchor>
  <xdr:twoCellAnchor>
    <xdr:from>
      <xdr:col>5</xdr:col>
      <xdr:colOff>527801</xdr:colOff>
      <xdr:row>51</xdr:row>
      <xdr:rowOff>95491</xdr:rowOff>
    </xdr:from>
    <xdr:to>
      <xdr:col>11</xdr:col>
      <xdr:colOff>369796</xdr:colOff>
      <xdr:row>53</xdr:row>
      <xdr:rowOff>140157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>
          <a:spLocks noChangeArrowheads="1"/>
        </xdr:cNvSpPr>
      </xdr:nvSpPr>
      <xdr:spPr bwMode="auto">
        <a:xfrm>
          <a:off x="3251951" y="8182216"/>
          <a:ext cx="3499595" cy="349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charset="0"/>
              <a:ea typeface="바탕체" pitchFamily="17" charset="-127"/>
              <a:cs typeface="+mn-cs"/>
            </a:defRPr>
          </a:lvl9pPr>
        </a:lstStyle>
        <a:p>
          <a:pPr eaLnBrk="1" hangingPunct="1">
            <a:spcBef>
              <a:spcPct val="0"/>
            </a:spcBef>
            <a:buFontTx/>
            <a:buNone/>
          </a:pPr>
          <a:r>
            <a:rPr lang="ko-KR" altLang="en-US" sz="1200">
              <a:latin typeface="+mj-ea"/>
              <a:ea typeface="+mj-ea"/>
            </a:rPr>
            <a:t>본인자필서명 확인                            </a:t>
          </a:r>
          <a:r>
            <a:rPr lang="en-US" altLang="ko-KR" sz="1200">
              <a:latin typeface="+mj-ea"/>
              <a:ea typeface="+mj-ea"/>
            </a:rPr>
            <a:t>(</a:t>
          </a:r>
          <a:r>
            <a:rPr lang="ko-KR" altLang="en-US" sz="1200">
              <a:latin typeface="+mj-ea"/>
              <a:ea typeface="+mj-ea"/>
            </a:rPr>
            <a:t>인</a:t>
          </a:r>
          <a:r>
            <a:rPr lang="en-US" altLang="ko-KR" sz="1200">
              <a:latin typeface="+mj-ea"/>
              <a:ea typeface="+mj-ea"/>
            </a:rPr>
            <a:t>)</a:t>
          </a:r>
          <a:endParaRPr lang="ko-KR" altLang="en-US" sz="1200"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69394</xdr:colOff>
      <xdr:row>5</xdr:row>
      <xdr:rowOff>74841</xdr:rowOff>
    </xdr:from>
    <xdr:to>
      <xdr:col>11</xdr:col>
      <xdr:colOff>664029</xdr:colOff>
      <xdr:row>14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4012744" y="836841"/>
          <a:ext cx="3033035" cy="1572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성명 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상호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: </a:t>
          </a:r>
        </a:p>
        <a:p>
          <a:pPr algn="l"/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사업자번호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주민번호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: </a:t>
          </a:r>
        </a:p>
        <a:p>
          <a:pPr algn="l"/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리 스 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렌트 차 종 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: </a:t>
          </a:r>
          <a:r>
            <a:rPr lang="ko-KR" altLang="en-US" sz="1100" b="1">
              <a:latin typeface="+mj-ea"/>
              <a:ea typeface="+mj-ea"/>
            </a:rPr>
            <a:t> </a:t>
          </a:r>
          <a:endParaRPr lang="en-US" altLang="ko-KR" sz="1100" b="1" i="0" u="none" strike="noStrike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algn="l"/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차 대 번 호 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:</a:t>
          </a:r>
        </a:p>
        <a:p>
          <a:pPr algn="l"/>
          <a:r>
            <a:rPr lang="ko-KR" altLang="en-US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차 량 번 호 </a:t>
          </a:r>
          <a:r>
            <a:rPr lang="en-US" altLang="ko-KR" sz="1100" b="1" i="0" u="none" strike="noStrike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:</a:t>
          </a:r>
          <a:endParaRPr lang="ko-KR" altLang="en-US" sz="1100" b="1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493058</xdr:colOff>
      <xdr:row>51</xdr:row>
      <xdr:rowOff>123265</xdr:rowOff>
    </xdr:from>
    <xdr:to>
      <xdr:col>11</xdr:col>
      <xdr:colOff>324971</xdr:colOff>
      <xdr:row>54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217208" y="8209990"/>
          <a:ext cx="3489513" cy="333935"/>
        </a:xfrm>
        <a:prstGeom prst="rect">
          <a:avLst/>
        </a:prstGeom>
        <a:noFill/>
        <a:ln w="952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6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Internet_temp\IE\VBMF2A4V\6&#50900;%20&#44204;&#51201;&#44592;%20&#50868;&#50689;&#51312;&#44148;_&#46041;&#44540;%20&#51204;&#458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대제조사탁송료(전기차too)"/>
      <sheetName val="출고보험료"/>
      <sheetName val="특판조건(국산)"/>
      <sheetName val="웰컴기프트"/>
      <sheetName val="렌터카견적내기"/>
      <sheetName val="렌터카보험_수정"/>
      <sheetName val="렌터카모델"/>
      <sheetName val="모델정보데이터2"/>
      <sheetName val="신잔가표"/>
      <sheetName val="공지사항"/>
      <sheetName val="신잔가매칭"/>
      <sheetName val="고잔가(21년_4분기)"/>
      <sheetName val="전기차중잔가"/>
      <sheetName val="렌트할인조건"/>
      <sheetName val="고객용견적"/>
      <sheetName val="렌터카보험_공제대상(꼭수정)"/>
      <sheetName val="주요기준"/>
      <sheetName val="보험현황"/>
      <sheetName val="정비"/>
      <sheetName val="인수형확약서"/>
      <sheetName val="견적차량가기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F67"/>
  <sheetViews>
    <sheetView showGridLines="0" zoomScale="85" zoomScaleNormal="85" workbookViewId="0">
      <selection activeCell="AA18" sqref="AA18"/>
    </sheetView>
  </sheetViews>
  <sheetFormatPr defaultColWidth="0" defaultRowHeight="12" zeroHeight="1"/>
  <cols>
    <col min="1" max="1" width="2.7109375" customWidth="1"/>
    <col min="2" max="14" width="9.140625" customWidth="1"/>
    <col min="15" max="15" width="3.5703125" customWidth="1"/>
    <col min="16" max="16" width="2.7109375" customWidth="1"/>
    <col min="17" max="17" width="1.42578125" customWidth="1"/>
    <col min="18" max="31" width="9.140625" customWidth="1"/>
    <col min="32" max="16384" width="9.140625" hidden="1"/>
  </cols>
  <sheetData>
    <row r="1" spans="1:31" ht="15" customHeight="1">
      <c r="A1" s="1122"/>
      <c r="C1" s="1374"/>
      <c r="D1" s="1374"/>
      <c r="E1" s="1374"/>
      <c r="F1" s="1374"/>
      <c r="G1" s="1374"/>
      <c r="H1" s="1374"/>
      <c r="I1" s="1374"/>
      <c r="J1" s="1374"/>
      <c r="K1" s="1374"/>
      <c r="L1" s="1374"/>
      <c r="M1" s="1456" t="s">
        <v>1266</v>
      </c>
      <c r="N1" s="1456"/>
      <c r="O1" s="1456"/>
      <c r="P1" s="1456"/>
      <c r="Q1" s="1456"/>
      <c r="R1" s="1456"/>
      <c r="S1" s="1456"/>
      <c r="T1" s="1456"/>
      <c r="U1" s="1123"/>
      <c r="V1" s="1123"/>
      <c r="W1" s="1123"/>
      <c r="X1" s="1123"/>
      <c r="Y1" s="1123"/>
      <c r="Z1" s="1123"/>
      <c r="AA1" s="1123"/>
      <c r="AB1" s="1123"/>
      <c r="AC1" s="1123"/>
      <c r="AD1" s="1123"/>
      <c r="AE1" s="1123"/>
    </row>
    <row r="2" spans="1:31" ht="16.5" customHeight="1" thickBot="1">
      <c r="A2" s="997"/>
      <c r="B2" s="1375"/>
      <c r="C2" s="1375"/>
      <c r="D2" s="1375"/>
      <c r="E2" s="1375"/>
      <c r="F2" s="1375"/>
      <c r="G2" s="1375"/>
      <c r="H2" s="1375"/>
      <c r="I2" s="1375"/>
      <c r="J2" s="1375"/>
      <c r="K2" s="1375"/>
      <c r="L2" s="1375"/>
      <c r="M2" s="1457"/>
      <c r="N2" s="1457"/>
      <c r="O2" s="1457"/>
      <c r="P2" s="1457"/>
      <c r="Q2" s="1457"/>
      <c r="R2" s="1457"/>
      <c r="S2" s="1457"/>
      <c r="T2" s="1457"/>
      <c r="U2" s="1124"/>
      <c r="V2" s="1124"/>
      <c r="W2" s="1124"/>
      <c r="X2" s="1124"/>
      <c r="Y2" s="1124"/>
      <c r="Z2" s="1124"/>
      <c r="AA2" s="1124"/>
      <c r="AB2" s="1124"/>
      <c r="AC2" s="1124"/>
      <c r="AD2" s="1124"/>
      <c r="AE2" s="1124"/>
    </row>
    <row r="3" spans="1:31" ht="8.25" customHeight="1" thickTop="1">
      <c r="A3" s="994"/>
      <c r="B3" s="539"/>
      <c r="C3" s="539"/>
      <c r="D3" s="539"/>
      <c r="E3" s="539"/>
      <c r="F3" s="539"/>
      <c r="H3" s="996"/>
      <c r="J3" s="539"/>
      <c r="K3" s="539"/>
      <c r="L3" s="539"/>
      <c r="M3" s="539"/>
      <c r="N3" s="539"/>
      <c r="O3" s="539"/>
      <c r="P3" s="995"/>
    </row>
    <row r="4" spans="1:31" ht="21.75" customHeight="1">
      <c r="A4" s="998"/>
      <c r="B4" s="1008" t="s">
        <v>1265</v>
      </c>
      <c r="C4" s="999"/>
      <c r="D4" s="999"/>
      <c r="E4" s="999"/>
      <c r="F4" s="999"/>
      <c r="G4" s="1000"/>
      <c r="H4" s="1000"/>
      <c r="I4" s="1000"/>
      <c r="J4" s="1000"/>
      <c r="K4" s="1000"/>
      <c r="L4" s="1000"/>
      <c r="M4" s="1000"/>
      <c r="N4" s="1000"/>
      <c r="O4" s="1000"/>
      <c r="P4" s="1001"/>
      <c r="Q4" s="998"/>
      <c r="R4" s="1008" t="s">
        <v>1923</v>
      </c>
      <c r="S4" s="999"/>
      <c r="T4" s="999"/>
      <c r="U4" s="999"/>
      <c r="V4" s="999"/>
      <c r="W4" s="1000"/>
      <c r="X4" s="1000"/>
      <c r="Y4" s="1000"/>
      <c r="Z4" s="1000"/>
      <c r="AA4" s="1000"/>
      <c r="AB4" s="1000"/>
      <c r="AC4" s="1000"/>
      <c r="AD4" s="1000"/>
      <c r="AE4" s="1000"/>
    </row>
    <row r="5" spans="1:31" ht="8.25" customHeight="1">
      <c r="A5" s="998"/>
      <c r="B5" s="1002"/>
      <c r="C5" s="1003"/>
      <c r="D5" s="1003"/>
      <c r="E5" s="1003"/>
      <c r="F5" s="1003"/>
      <c r="G5" s="1003"/>
      <c r="H5" s="1003"/>
      <c r="I5" s="1003"/>
      <c r="J5" s="1003"/>
      <c r="K5" s="1003"/>
      <c r="L5" s="1003"/>
      <c r="M5" s="1003"/>
      <c r="N5" s="1003"/>
      <c r="O5" s="1003"/>
      <c r="P5" s="1001"/>
      <c r="Q5" s="998"/>
      <c r="R5" s="1458"/>
      <c r="S5" s="1458"/>
      <c r="T5" s="1458"/>
      <c r="U5" s="1458"/>
      <c r="V5" s="1458"/>
      <c r="W5" s="1458"/>
      <c r="X5" s="1458"/>
      <c r="Y5" s="1458"/>
      <c r="Z5" s="1458"/>
      <c r="AA5" s="1458"/>
      <c r="AB5" s="1458"/>
      <c r="AC5" s="1458"/>
      <c r="AD5" s="1458"/>
      <c r="AE5" s="1458"/>
    </row>
    <row r="6" spans="1:31" ht="17.45" customHeight="1">
      <c r="A6" s="998"/>
      <c r="B6" s="1118" t="s">
        <v>1285</v>
      </c>
      <c r="C6" s="1003"/>
      <c r="D6" s="1003"/>
      <c r="E6" s="1003"/>
      <c r="F6" s="1003"/>
      <c r="G6" s="1003"/>
      <c r="H6" s="1003"/>
      <c r="I6" s="1003"/>
      <c r="J6" s="1003"/>
      <c r="K6" s="1003"/>
      <c r="L6" s="1003"/>
      <c r="M6" s="1003"/>
      <c r="N6" s="1003"/>
      <c r="O6" s="1003"/>
      <c r="P6" s="1001"/>
      <c r="Q6" s="998"/>
      <c r="R6" s="1004" t="s">
        <v>1158</v>
      </c>
      <c r="S6" s="1003"/>
      <c r="T6" s="1003"/>
      <c r="U6" s="1003"/>
      <c r="V6" s="1003"/>
      <c r="W6" s="1003"/>
      <c r="X6" s="1003"/>
      <c r="Y6" s="1003"/>
      <c r="AA6" s="1003"/>
      <c r="AB6" s="1003"/>
      <c r="AC6" s="1003"/>
      <c r="AD6" s="1003"/>
      <c r="AE6" s="1003"/>
    </row>
    <row r="7" spans="1:31" ht="17.45" customHeight="1">
      <c r="A7" s="998"/>
      <c r="B7" s="1112" t="s">
        <v>1282</v>
      </c>
      <c r="C7" s="1113"/>
      <c r="D7" s="1113"/>
      <c r="E7" s="1113"/>
      <c r="F7" s="1113"/>
      <c r="G7" s="1113"/>
      <c r="H7" s="1113"/>
      <c r="I7" s="1113"/>
      <c r="J7" s="1113"/>
      <c r="K7" s="1113"/>
      <c r="L7" s="1113"/>
      <c r="M7" s="1113"/>
      <c r="N7" s="1113"/>
      <c r="O7" s="1003"/>
      <c r="P7" s="1001"/>
      <c r="Q7" s="998"/>
      <c r="R7" s="1009" t="s">
        <v>2014</v>
      </c>
      <c r="S7" s="412"/>
      <c r="T7" s="412"/>
      <c r="U7" s="412"/>
      <c r="V7" s="412"/>
      <c r="W7" s="412"/>
      <c r="X7" s="412"/>
      <c r="Y7" s="1003"/>
      <c r="Z7" s="1003"/>
      <c r="AA7" s="1003"/>
      <c r="AB7" s="1003"/>
      <c r="AC7" s="1003"/>
      <c r="AD7" s="1003"/>
      <c r="AE7" s="1003"/>
    </row>
    <row r="8" spans="1:31" ht="17.45" customHeight="1">
      <c r="A8" s="998"/>
      <c r="B8" s="1120" t="s">
        <v>1283</v>
      </c>
      <c r="C8" s="1121"/>
      <c r="D8" s="1121"/>
      <c r="E8" s="1121"/>
      <c r="F8" s="1121"/>
      <c r="G8" s="1121"/>
      <c r="H8" s="1121"/>
      <c r="I8" s="1121"/>
      <c r="J8" s="1121"/>
      <c r="K8" s="1121"/>
      <c r="L8" s="1121"/>
      <c r="M8" s="1121"/>
      <c r="N8" s="1121"/>
      <c r="O8" s="1003"/>
      <c r="P8" s="1001"/>
      <c r="Q8" s="998" t="s">
        <v>137</v>
      </c>
      <c r="R8" s="1391" t="s">
        <v>1919</v>
      </c>
      <c r="S8" s="412"/>
      <c r="T8" s="412"/>
      <c r="U8" s="412"/>
      <c r="V8" s="412"/>
      <c r="W8" s="412"/>
      <c r="X8" s="412"/>
      <c r="Y8" s="1003"/>
      <c r="Z8" s="1003"/>
      <c r="AA8" s="1003"/>
      <c r="AB8" s="1003"/>
      <c r="AC8" s="1003"/>
      <c r="AD8" s="1003"/>
      <c r="AE8" s="1003"/>
    </row>
    <row r="9" spans="1:31" ht="17.45" customHeight="1">
      <c r="A9" s="998"/>
      <c r="B9" s="1011"/>
      <c r="C9" s="1003"/>
      <c r="D9" s="1003"/>
      <c r="E9" s="1003"/>
      <c r="F9" s="1003"/>
      <c r="G9" s="1003"/>
      <c r="H9" s="1003"/>
      <c r="I9" s="1003"/>
      <c r="J9" s="1003"/>
      <c r="K9" s="1003"/>
      <c r="L9" s="1003"/>
      <c r="M9" s="1003"/>
      <c r="N9" s="1003"/>
      <c r="O9" s="1003"/>
      <c r="P9" s="1001"/>
      <c r="Q9" s="998"/>
      <c r="R9" s="1009" t="s">
        <v>2015</v>
      </c>
      <c r="S9" s="1010"/>
      <c r="T9" s="1010"/>
      <c r="U9" s="1010"/>
      <c r="V9" s="1010"/>
      <c r="W9" s="1010"/>
      <c r="X9" s="1010"/>
      <c r="Y9" s="1010"/>
      <c r="Z9" s="1003"/>
      <c r="AA9" s="1003"/>
      <c r="AB9" s="1003"/>
      <c r="AC9" s="1003"/>
      <c r="AD9" s="1003"/>
      <c r="AE9" s="1003"/>
    </row>
    <row r="10" spans="1:31" ht="17.45" customHeight="1">
      <c r="A10" s="998"/>
      <c r="B10" s="1004" t="s">
        <v>1264</v>
      </c>
      <c r="C10" s="1003"/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1"/>
      <c r="Q10" s="998"/>
      <c r="R10" s="1009"/>
      <c r="S10" s="1010"/>
      <c r="T10" s="1010"/>
      <c r="U10" s="1010"/>
      <c r="V10" s="1010"/>
      <c r="W10" s="1010"/>
      <c r="X10" s="1010"/>
      <c r="Y10" s="1010"/>
      <c r="Z10" s="1003"/>
      <c r="AA10" s="1003"/>
      <c r="AB10" s="1003"/>
      <c r="AC10" s="1003"/>
      <c r="AD10" s="1003"/>
      <c r="AE10" s="1003"/>
    </row>
    <row r="11" spans="1:31" ht="17.45" customHeight="1">
      <c r="A11" s="998"/>
      <c r="B11" s="1005" t="s">
        <v>1786</v>
      </c>
      <c r="C11" s="1003"/>
      <c r="D11" s="1003"/>
      <c r="E11" s="1003"/>
      <c r="F11" s="1003"/>
      <c r="G11" s="1003"/>
      <c r="H11" s="1003"/>
      <c r="I11" s="1003"/>
      <c r="J11" s="1003"/>
      <c r="K11" s="1003"/>
      <c r="L11" s="1003"/>
      <c r="M11" s="1003"/>
      <c r="N11" s="1003"/>
      <c r="O11" s="1003"/>
      <c r="P11" s="1001"/>
      <c r="Q11" s="998"/>
      <c r="R11" s="1004" t="s">
        <v>1922</v>
      </c>
      <c r="S11" s="1003"/>
      <c r="T11" s="1003"/>
      <c r="U11" s="1003"/>
      <c r="V11" s="1003"/>
      <c r="W11" s="1003"/>
      <c r="X11" s="1003"/>
      <c r="Y11" s="1003"/>
      <c r="Z11" s="1003"/>
      <c r="AA11" s="1003"/>
      <c r="AB11" s="1003"/>
      <c r="AC11" s="1003"/>
      <c r="AD11" s="1003"/>
      <c r="AE11" s="1003"/>
    </row>
    <row r="12" spans="1:31" ht="17.45" customHeight="1">
      <c r="A12" s="998"/>
      <c r="B12" s="1005" t="s">
        <v>1787</v>
      </c>
      <c r="C12" s="1003"/>
      <c r="D12" s="1003"/>
      <c r="E12" s="1003"/>
      <c r="F12" s="1003"/>
      <c r="G12" s="1003"/>
      <c r="H12" s="1003"/>
      <c r="I12" s="1003"/>
      <c r="J12" s="1003"/>
      <c r="K12" s="1003"/>
      <c r="L12" s="1003"/>
      <c r="M12" s="1003"/>
      <c r="N12" s="1003"/>
      <c r="O12" s="1003"/>
      <c r="P12" s="1001"/>
      <c r="Q12" s="998"/>
      <c r="R12" s="1354" t="s">
        <v>2011</v>
      </c>
      <c r="S12" s="1003"/>
      <c r="T12" s="1003"/>
      <c r="U12" s="1003"/>
      <c r="V12" s="1003"/>
      <c r="W12" s="1003"/>
      <c r="X12" s="1003"/>
      <c r="Y12" s="1003"/>
      <c r="Z12" s="1003"/>
      <c r="AA12" s="1003"/>
      <c r="AB12" s="1003"/>
      <c r="AC12" s="1003"/>
      <c r="AD12" s="1003"/>
      <c r="AE12" s="1003"/>
    </row>
    <row r="13" spans="1:31" ht="17.45" customHeight="1">
      <c r="A13" s="998"/>
      <c r="B13" s="1006" t="s">
        <v>1267</v>
      </c>
      <c r="C13" s="1003"/>
      <c r="D13" s="1003"/>
      <c r="E13" s="1003"/>
      <c r="F13" s="1003"/>
      <c r="G13" s="1003"/>
      <c r="H13" s="1003"/>
      <c r="I13" s="1003"/>
      <c r="J13" s="1003"/>
      <c r="K13" s="1003"/>
      <c r="L13" s="1003"/>
      <c r="M13" s="1003"/>
      <c r="N13" s="1003"/>
      <c r="O13" s="1003"/>
      <c r="P13" s="1001"/>
      <c r="Q13" s="998"/>
      <c r="R13" s="1451" t="s">
        <v>2012</v>
      </c>
    </row>
    <row r="14" spans="1:31" ht="17.45" customHeight="1">
      <c r="A14" s="998"/>
      <c r="B14" s="1007"/>
      <c r="C14" s="1003"/>
      <c r="D14" s="1003"/>
      <c r="E14" s="1003"/>
      <c r="F14" s="1003"/>
      <c r="G14" s="1003"/>
      <c r="H14" s="1003"/>
      <c r="I14" s="1003"/>
      <c r="J14" s="1003"/>
      <c r="K14" s="1003"/>
      <c r="L14" s="1003"/>
      <c r="M14" s="1003"/>
      <c r="N14" s="1003"/>
      <c r="O14" s="1003"/>
      <c r="P14" s="1001"/>
      <c r="Q14" s="998"/>
      <c r="R14" s="1009" t="s">
        <v>2013</v>
      </c>
    </row>
    <row r="15" spans="1:31" ht="17.45" customHeight="1">
      <c r="A15" s="998"/>
      <c r="B15" s="412"/>
      <c r="C15" s="1003"/>
      <c r="D15" s="1003"/>
      <c r="E15" s="1003"/>
      <c r="F15" s="1003"/>
      <c r="G15" s="1003"/>
      <c r="H15" s="1003"/>
      <c r="I15" s="1003"/>
      <c r="J15" s="1003"/>
      <c r="K15" s="1003"/>
      <c r="L15" s="1003"/>
      <c r="M15" s="1003"/>
      <c r="N15" s="1003"/>
      <c r="O15" s="1003"/>
      <c r="P15" s="1001"/>
      <c r="Q15" s="998"/>
      <c r="S15" s="1003"/>
      <c r="T15" s="1003"/>
      <c r="U15" s="1003"/>
      <c r="V15" s="1003"/>
      <c r="W15" s="1003"/>
      <c r="X15" s="1003"/>
      <c r="Y15" s="1003"/>
      <c r="Z15" s="1003"/>
      <c r="AA15" s="1003"/>
      <c r="AB15" s="1003"/>
      <c r="AC15" s="1003"/>
      <c r="AD15" s="1003"/>
      <c r="AE15" s="1003"/>
    </row>
    <row r="16" spans="1:31" ht="17.45" customHeight="1">
      <c r="A16" s="998"/>
      <c r="B16" s="412"/>
      <c r="C16" s="1003"/>
      <c r="D16" s="1003"/>
      <c r="E16" s="1003"/>
      <c r="F16" s="1003"/>
      <c r="G16" s="1003"/>
      <c r="H16" s="1003"/>
      <c r="I16" s="1003"/>
      <c r="J16" s="1003"/>
      <c r="K16" s="1003"/>
      <c r="L16" s="1003"/>
      <c r="M16" s="1003"/>
      <c r="N16" s="1003"/>
      <c r="O16" s="1003"/>
      <c r="P16" s="1001"/>
      <c r="Q16" s="998"/>
      <c r="R16" s="1004" t="s">
        <v>2019</v>
      </c>
      <c r="S16" s="1003"/>
      <c r="T16" s="1003"/>
      <c r="U16" s="1003"/>
      <c r="V16" s="1003"/>
      <c r="W16" s="1003"/>
      <c r="X16" s="1003"/>
      <c r="Y16" s="1003"/>
      <c r="Z16" s="1003"/>
      <c r="AA16" s="1003"/>
      <c r="AB16" s="1003"/>
      <c r="AC16" s="1003"/>
      <c r="AD16" s="1003"/>
      <c r="AE16" s="1003"/>
    </row>
    <row r="17" spans="1:32" ht="17.45" customHeight="1">
      <c r="A17" s="998"/>
      <c r="B17" s="412"/>
      <c r="C17" s="412"/>
      <c r="D17" s="412"/>
      <c r="E17" s="412"/>
      <c r="F17" s="412"/>
      <c r="G17" s="412"/>
      <c r="H17" s="412"/>
      <c r="I17" s="412"/>
      <c r="J17" s="1003"/>
      <c r="K17" s="1003"/>
      <c r="L17" s="1003"/>
      <c r="M17" s="1003"/>
      <c r="N17" s="1003"/>
      <c r="O17" s="1003"/>
      <c r="P17" s="1001"/>
      <c r="Q17" s="998"/>
      <c r="R17" s="1114" t="s">
        <v>2016</v>
      </c>
      <c r="S17" s="1003"/>
      <c r="T17" s="1003"/>
      <c r="U17" s="1003"/>
      <c r="V17" s="1003"/>
      <c r="W17" s="1003"/>
      <c r="X17" s="1003"/>
      <c r="Y17" s="1003"/>
      <c r="Z17" s="1003"/>
      <c r="AA17" s="1003"/>
      <c r="AB17" s="1003"/>
      <c r="AC17" s="1003"/>
      <c r="AD17" s="1003"/>
      <c r="AE17" s="1003"/>
    </row>
    <row r="18" spans="1:32" ht="17.45" customHeight="1">
      <c r="A18" s="998"/>
      <c r="B18" s="1004" t="s">
        <v>1268</v>
      </c>
      <c r="C18" s="412"/>
      <c r="D18" s="412"/>
      <c r="E18" s="412"/>
      <c r="F18" s="412"/>
      <c r="G18" s="412"/>
      <c r="H18" s="412"/>
      <c r="I18" s="412"/>
      <c r="J18" s="1003"/>
      <c r="K18" s="1003"/>
      <c r="L18" s="1003"/>
      <c r="M18" s="1003"/>
      <c r="N18" s="1003"/>
      <c r="O18" s="1003"/>
      <c r="P18" s="1001"/>
      <c r="Q18" s="998"/>
      <c r="R18" s="1009" t="s">
        <v>2017</v>
      </c>
      <c r="AB18" s="1003"/>
      <c r="AC18" s="1003"/>
      <c r="AD18" s="1003"/>
      <c r="AE18" s="1003"/>
    </row>
    <row r="19" spans="1:32" ht="17.45" customHeight="1">
      <c r="A19" s="998"/>
      <c r="B19" s="1006" t="s">
        <v>1269</v>
      </c>
      <c r="C19" s="412"/>
      <c r="D19" s="412"/>
      <c r="E19" s="412"/>
      <c r="F19" s="412"/>
      <c r="G19" s="412"/>
      <c r="H19" s="412"/>
      <c r="I19" s="412"/>
      <c r="J19" s="1003"/>
      <c r="K19" s="1003"/>
      <c r="L19" s="1003"/>
      <c r="M19" s="1003"/>
      <c r="N19" s="1003"/>
      <c r="O19" s="1003"/>
      <c r="P19" s="1001"/>
      <c r="Q19" s="998"/>
      <c r="R19" s="1114" t="s">
        <v>2018</v>
      </c>
      <c r="S19" s="1003"/>
      <c r="T19" s="1003"/>
      <c r="U19" s="1003"/>
      <c r="V19" s="1003"/>
      <c r="W19" s="1003"/>
      <c r="X19" s="1003"/>
      <c r="Y19" s="1003"/>
      <c r="Z19" s="1003"/>
      <c r="AA19" s="1003"/>
      <c r="AB19" s="1003"/>
      <c r="AC19" s="1003"/>
      <c r="AD19" s="1003"/>
      <c r="AE19" s="1003"/>
    </row>
    <row r="20" spans="1:32" ht="17.45" customHeight="1">
      <c r="A20" s="998"/>
      <c r="B20" s="1005" t="s">
        <v>1272</v>
      </c>
      <c r="C20" s="412"/>
      <c r="D20" s="412"/>
      <c r="E20" s="412"/>
      <c r="F20" s="412"/>
      <c r="G20" s="412"/>
      <c r="H20" s="412"/>
      <c r="I20" s="412"/>
      <c r="J20" s="1003"/>
      <c r="K20" s="1003"/>
      <c r="L20" s="1003"/>
      <c r="M20" s="1003"/>
      <c r="N20" s="1003"/>
      <c r="O20" s="1003"/>
      <c r="P20" s="1001"/>
      <c r="Q20" s="998"/>
      <c r="R20" s="1391" t="s">
        <v>1886</v>
      </c>
      <c r="T20" s="1003"/>
      <c r="U20" s="1003"/>
      <c r="V20" s="1003"/>
      <c r="W20" s="1003"/>
      <c r="X20" s="1003"/>
      <c r="Y20" s="1003"/>
      <c r="Z20" s="1003"/>
      <c r="AA20" s="1003"/>
      <c r="AB20" s="1003"/>
      <c r="AC20" s="1003"/>
      <c r="AD20" s="1003"/>
      <c r="AE20" s="1003"/>
    </row>
    <row r="21" spans="1:32" ht="17.25" customHeight="1">
      <c r="A21" s="998"/>
      <c r="B21" s="1005" t="s">
        <v>1785</v>
      </c>
      <c r="C21" s="412"/>
      <c r="D21" s="412"/>
      <c r="E21" s="412"/>
      <c r="F21" s="412"/>
      <c r="G21" s="412"/>
      <c r="H21" s="412"/>
      <c r="I21" s="412"/>
      <c r="J21" s="1003"/>
      <c r="K21" s="1003"/>
      <c r="L21" s="1003"/>
      <c r="M21" s="1003"/>
      <c r="N21" s="1003"/>
      <c r="O21" s="1003"/>
      <c r="P21" s="1001"/>
      <c r="Q21" s="998"/>
      <c r="R21" s="1391" t="s">
        <v>1920</v>
      </c>
      <c r="S21" s="1003"/>
      <c r="T21" s="1003"/>
      <c r="U21" s="1003"/>
      <c r="V21" s="1003"/>
      <c r="W21" s="1003"/>
      <c r="X21" s="1003"/>
      <c r="Y21" s="1003"/>
      <c r="Z21" s="1003"/>
      <c r="AA21" s="1003"/>
      <c r="AB21" s="1003"/>
      <c r="AC21" s="1003"/>
      <c r="AD21" s="1003"/>
      <c r="AE21" s="1003"/>
      <c r="AF21" s="1003"/>
    </row>
    <row r="22" spans="1:32" ht="17.25" customHeight="1">
      <c r="A22" s="998"/>
      <c r="B22" s="1005"/>
      <c r="C22" s="412"/>
      <c r="D22" s="412"/>
      <c r="E22" s="412"/>
      <c r="F22" s="412"/>
      <c r="G22" s="412"/>
      <c r="H22" s="412"/>
      <c r="I22" s="412"/>
      <c r="J22" s="1003"/>
      <c r="K22" s="1003"/>
      <c r="L22" s="1003"/>
      <c r="M22" s="1003"/>
      <c r="N22" s="1003"/>
      <c r="O22" s="1003"/>
      <c r="P22" s="1001"/>
      <c r="Q22" s="998"/>
      <c r="AC22" s="1003"/>
      <c r="AD22" s="1003"/>
      <c r="AE22" s="1003"/>
      <c r="AF22" s="1003"/>
    </row>
    <row r="23" spans="1:32" ht="17.25" customHeight="1">
      <c r="A23" s="998"/>
      <c r="B23" s="1004" t="s">
        <v>1740</v>
      </c>
      <c r="C23" s="412"/>
      <c r="D23" s="412"/>
      <c r="E23" s="412"/>
      <c r="F23" s="412"/>
      <c r="G23" s="412"/>
      <c r="J23" s="1015"/>
      <c r="K23" s="1016"/>
      <c r="L23" s="1017"/>
      <c r="M23" s="1017"/>
      <c r="N23" s="1017"/>
      <c r="O23" s="1018"/>
      <c r="P23" s="1001"/>
      <c r="Q23" s="998"/>
      <c r="R23" s="1004" t="s">
        <v>1925</v>
      </c>
      <c r="AC23" s="1003"/>
      <c r="AD23" s="1003"/>
      <c r="AE23" s="1003"/>
    </row>
    <row r="24" spans="1:32" ht="17.25" customHeight="1">
      <c r="A24" s="998"/>
      <c r="B24" s="1005" t="s">
        <v>1741</v>
      </c>
      <c r="C24" s="412"/>
      <c r="D24" s="412"/>
      <c r="E24" s="412"/>
      <c r="G24" s="412"/>
      <c r="J24" s="1019" t="s">
        <v>1779</v>
      </c>
      <c r="K24" s="412"/>
      <c r="N24" s="1003"/>
      <c r="O24" s="1020"/>
      <c r="P24" s="1001"/>
      <c r="R24" s="1114" t="s">
        <v>1942</v>
      </c>
    </row>
    <row r="25" spans="1:32" ht="17.25" customHeight="1">
      <c r="A25" s="998"/>
      <c r="B25" s="1005" t="s">
        <v>1788</v>
      </c>
      <c r="C25" s="412"/>
      <c r="D25" s="412"/>
      <c r="E25" s="412"/>
      <c r="F25" s="412"/>
      <c r="G25" s="412"/>
      <c r="J25" s="1019"/>
      <c r="K25" s="412"/>
      <c r="L25" s="1003"/>
      <c r="M25" s="1003"/>
      <c r="N25" s="1003"/>
      <c r="O25" s="1020"/>
      <c r="P25" s="1001"/>
      <c r="R25" s="1114" t="s">
        <v>1970</v>
      </c>
    </row>
    <row r="26" spans="1:32" ht="17.25" customHeight="1">
      <c r="A26" s="998"/>
      <c r="B26" s="1357" t="s">
        <v>1761</v>
      </c>
      <c r="C26" s="412"/>
      <c r="D26" s="412"/>
      <c r="E26" s="412"/>
      <c r="F26" s="412"/>
      <c r="G26" s="412"/>
      <c r="J26" s="1021"/>
      <c r="K26" s="1022"/>
      <c r="L26" s="1023"/>
      <c r="M26" s="1023"/>
      <c r="N26" s="1023"/>
      <c r="O26" s="1024"/>
      <c r="P26" s="1001"/>
      <c r="Q26" s="998"/>
      <c r="R26" s="1114" t="s">
        <v>1971</v>
      </c>
    </row>
    <row r="27" spans="1:32" ht="17.45" customHeight="1">
      <c r="A27" s="998"/>
      <c r="B27" s="1006"/>
      <c r="C27" s="412"/>
      <c r="D27" s="412"/>
      <c r="E27" s="412"/>
      <c r="F27" s="412"/>
      <c r="G27" s="412"/>
      <c r="J27" s="412"/>
      <c r="K27" s="412"/>
      <c r="L27" s="1003"/>
      <c r="M27" s="1003"/>
      <c r="N27" s="1003"/>
      <c r="O27" s="1003"/>
      <c r="P27" s="1001"/>
      <c r="R27" s="1114" t="s">
        <v>2020</v>
      </c>
      <c r="S27" s="1003"/>
      <c r="T27" s="1003"/>
      <c r="U27" s="1003"/>
      <c r="V27" s="1003"/>
      <c r="W27" s="1003"/>
      <c r="X27" s="1003"/>
      <c r="Y27" s="1003"/>
      <c r="Z27" s="1003"/>
      <c r="AA27" s="1003"/>
      <c r="AB27" s="1003"/>
      <c r="AC27" s="412"/>
    </row>
    <row r="28" spans="1:32" ht="17.45" customHeight="1">
      <c r="A28" s="998"/>
      <c r="B28" s="1007" t="s">
        <v>1794</v>
      </c>
      <c r="C28" s="412"/>
      <c r="D28" s="412"/>
      <c r="E28" s="412"/>
      <c r="F28" s="412"/>
      <c r="G28" s="412"/>
      <c r="H28" s="412"/>
      <c r="I28" s="412"/>
      <c r="J28" s="1015"/>
      <c r="K28" s="1016"/>
      <c r="L28" s="1017"/>
      <c r="M28" s="1017"/>
      <c r="N28" s="1017"/>
      <c r="O28" s="1018"/>
      <c r="P28" s="1001"/>
      <c r="Q28" s="998"/>
      <c r="S28" s="1003"/>
      <c r="T28" s="1003"/>
      <c r="U28" s="1003"/>
      <c r="V28" s="1003"/>
      <c r="W28" s="1003"/>
      <c r="X28" s="1003"/>
      <c r="Y28" s="1003"/>
      <c r="Z28" s="1003"/>
      <c r="AA28" s="1003"/>
      <c r="AB28" s="1003"/>
      <c r="AC28" s="412"/>
      <c r="AF28" s="1003"/>
    </row>
    <row r="29" spans="1:32" ht="17.25" customHeight="1">
      <c r="B29" s="1005" t="s">
        <v>1784</v>
      </c>
      <c r="J29" s="1019" t="s">
        <v>1780</v>
      </c>
      <c r="K29" s="412"/>
      <c r="N29" s="1003"/>
      <c r="O29" s="1372"/>
      <c r="P29" s="1001"/>
      <c r="R29" s="1004" t="s">
        <v>1972</v>
      </c>
      <c r="AC29" s="1003"/>
      <c r="AD29" s="1003"/>
      <c r="AE29" s="1003"/>
    </row>
    <row r="30" spans="1:32" ht="17.45" customHeight="1">
      <c r="B30" s="1005" t="s">
        <v>1789</v>
      </c>
      <c r="J30" s="1019"/>
      <c r="K30" s="412"/>
      <c r="L30" s="1003"/>
      <c r="M30" s="1003"/>
      <c r="N30" s="1003"/>
      <c r="O30" s="1372"/>
      <c r="P30" s="1001"/>
      <c r="R30" s="1114" t="s">
        <v>2021</v>
      </c>
      <c r="AC30" s="412"/>
    </row>
    <row r="31" spans="1:32" ht="17.45" customHeight="1">
      <c r="B31" s="1005" t="s">
        <v>1783</v>
      </c>
      <c r="J31" s="1021"/>
      <c r="K31" s="1022"/>
      <c r="L31" s="1023"/>
      <c r="M31" s="1023"/>
      <c r="N31" s="1023"/>
      <c r="O31" s="1373"/>
      <c r="P31" s="1001"/>
      <c r="R31" s="1114" t="s">
        <v>1973</v>
      </c>
      <c r="Z31" s="1003"/>
    </row>
    <row r="32" spans="1:32" ht="17.45" customHeight="1">
      <c r="B32" s="1005"/>
      <c r="J32" s="412"/>
      <c r="K32" s="412"/>
      <c r="L32" s="1003"/>
      <c r="M32" s="1003"/>
      <c r="N32" s="1003"/>
      <c r="P32" s="1001"/>
      <c r="R32" s="1114" t="s">
        <v>2001</v>
      </c>
      <c r="S32" s="1003"/>
      <c r="Z32" s="412"/>
      <c r="AA32" s="412"/>
      <c r="AB32" s="412"/>
    </row>
    <row r="33" spans="1:31" ht="17.45" customHeight="1" thickBot="1">
      <c r="A33" s="1012"/>
      <c r="B33" s="1125"/>
      <c r="C33" s="1013"/>
      <c r="D33" s="1013"/>
      <c r="E33" s="1013"/>
      <c r="F33" s="1013"/>
      <c r="G33" s="1126"/>
      <c r="H33" s="1126"/>
      <c r="I33" s="1126"/>
      <c r="J33" s="1013"/>
      <c r="K33" s="1013"/>
      <c r="L33" s="1013"/>
      <c r="M33" s="1013"/>
      <c r="N33" s="1013"/>
      <c r="O33" s="1013"/>
      <c r="P33" s="1014"/>
      <c r="Q33" s="1012"/>
      <c r="R33" s="1452"/>
      <c r="S33" s="1013"/>
      <c r="T33" s="1013"/>
      <c r="U33" s="1013"/>
      <c r="V33" s="1013"/>
      <c r="W33" s="1013"/>
      <c r="X33" s="1013"/>
      <c r="Y33" s="1013"/>
      <c r="Z33" s="1013"/>
      <c r="AA33" s="1013"/>
      <c r="AB33" s="1013"/>
      <c r="AC33" s="1013"/>
      <c r="AD33" s="1013"/>
      <c r="AE33" s="1013"/>
    </row>
    <row r="34" spans="1:31" ht="17.45" customHeight="1">
      <c r="A34" s="539"/>
      <c r="B34" s="539"/>
      <c r="C34" s="539"/>
      <c r="D34" s="539"/>
      <c r="E34" s="539"/>
      <c r="F34" s="539"/>
      <c r="G34" s="539"/>
      <c r="H34" s="539"/>
      <c r="I34" s="539"/>
      <c r="J34" s="539"/>
      <c r="K34" s="539"/>
      <c r="L34" s="539"/>
      <c r="M34" s="539"/>
      <c r="N34" s="539"/>
      <c r="O34" s="539"/>
      <c r="P34" s="539"/>
    </row>
    <row r="35" spans="1:31"/>
    <row r="36" spans="1:31"/>
    <row r="37" spans="1:31"/>
    <row r="38" spans="1:31"/>
    <row r="39" spans="1:31"/>
    <row r="40" spans="1:31"/>
    <row r="41" spans="1:31"/>
    <row r="42" spans="1:31"/>
    <row r="43" spans="1:31"/>
    <row r="44" spans="1:31"/>
    <row r="45" spans="1:31"/>
    <row r="46" spans="1:31"/>
    <row r="47" spans="1:31"/>
    <row r="48" spans="1:31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</sheetData>
  <mergeCells count="2">
    <mergeCell ref="M1:T2"/>
    <mergeCell ref="R5:AE5"/>
  </mergeCells>
  <phoneticPr fontId="5" type="noConversion"/>
  <pageMargins left="0.7" right="0.7" top="0.75" bottom="0.75" header="0.3" footer="0.3"/>
  <pageSetup paperSize="9" scale="7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2:Z172"/>
  <sheetViews>
    <sheetView showGridLines="0" topLeftCell="A25" zoomScaleNormal="100" workbookViewId="0">
      <selection activeCell="C45" sqref="C45"/>
    </sheetView>
  </sheetViews>
  <sheetFormatPr defaultRowHeight="11.25"/>
  <cols>
    <col min="1" max="1" width="6" style="43" customWidth="1"/>
    <col min="2" max="2" width="18.28515625" style="43" customWidth="1"/>
    <col min="3" max="3" width="12.28515625" style="43" bestFit="1" customWidth="1"/>
    <col min="4" max="4" width="23.140625" style="43" customWidth="1"/>
    <col min="5" max="5" width="12.7109375" style="43" customWidth="1"/>
    <col min="6" max="7" width="9.42578125" style="43" bestFit="1" customWidth="1"/>
    <col min="8" max="8" width="11.5703125" style="43" bestFit="1" customWidth="1"/>
    <col min="9" max="9" width="11" style="43" bestFit="1" customWidth="1"/>
    <col min="10" max="11" width="9.140625" style="43"/>
    <col min="12" max="12" width="9.42578125" style="43" bestFit="1" customWidth="1"/>
    <col min="13" max="13" width="9.140625" style="43" customWidth="1"/>
    <col min="14" max="15" width="9.140625" style="43"/>
    <col min="16" max="16" width="22.7109375" style="43" customWidth="1"/>
    <col min="17" max="17" width="10.140625" style="43" bestFit="1" customWidth="1"/>
    <col min="18" max="18" width="9.140625" style="43"/>
    <col min="19" max="19" width="25.140625" style="43" bestFit="1" customWidth="1"/>
    <col min="20" max="20" width="10.7109375" style="43" bestFit="1" customWidth="1"/>
    <col min="21" max="21" width="9.140625" style="43"/>
    <col min="22" max="22" width="15.5703125" style="43" bestFit="1" customWidth="1"/>
    <col min="23" max="23" width="9.42578125" style="43" bestFit="1" customWidth="1"/>
    <col min="24" max="16384" width="9.140625" style="43"/>
  </cols>
  <sheetData>
    <row r="2" spans="2:26" ht="12" thickBot="1">
      <c r="B2" s="43" t="s">
        <v>805</v>
      </c>
      <c r="C2" s="1426">
        <f ca="1">IF(AND(렌터카견적내기!AO5=1,렌터카견적내기!AT10="유림로지텍"),1,IF(AND(렌터카견적내기!AO5=1,렌터카견적내기!AT10="HL홀딩스"),2,렌터카견적내기!AO3))</f>
        <v>3</v>
      </c>
    </row>
    <row r="3" spans="2:26" ht="12" thickBot="1">
      <c r="B3" s="1427" t="s">
        <v>230</v>
      </c>
      <c r="C3" s="1428"/>
      <c r="D3" s="1427" t="s">
        <v>1879</v>
      </c>
      <c r="E3" s="1428"/>
      <c r="G3" s="391" t="s">
        <v>1323</v>
      </c>
      <c r="J3" s="391" t="s">
        <v>1533</v>
      </c>
      <c r="N3" s="1393" t="s">
        <v>8</v>
      </c>
      <c r="O3" s="1394" t="s">
        <v>1843</v>
      </c>
      <c r="P3" s="1394" t="s">
        <v>1844</v>
      </c>
      <c r="Q3" s="1394" t="s">
        <v>1845</v>
      </c>
      <c r="R3" s="1394" t="s">
        <v>1843</v>
      </c>
      <c r="S3" s="1394" t="s">
        <v>1846</v>
      </c>
      <c r="T3" s="1395" t="s">
        <v>1847</v>
      </c>
      <c r="V3" s="1876" t="s">
        <v>1718</v>
      </c>
      <c r="W3" s="1872" t="s">
        <v>92</v>
      </c>
      <c r="X3" s="1874"/>
      <c r="Y3" s="1872" t="s">
        <v>1525</v>
      </c>
      <c r="Z3" s="1873"/>
    </row>
    <row r="4" spans="2:26" ht="12">
      <c r="B4" s="1429" t="str">
        <f ca="1">IF($C$2=1,"미제공",IF($C$2=2,"미제공",""))</f>
        <v/>
      </c>
      <c r="C4" s="1430">
        <v>0</v>
      </c>
      <c r="D4" s="1429" t="str">
        <f ca="1">IF($C$2=1,"미제공",IF($C$2=2,"미제공",""))</f>
        <v/>
      </c>
      <c r="E4" s="1430">
        <v>0</v>
      </c>
      <c r="G4" s="1253" t="s">
        <v>15</v>
      </c>
      <c r="H4" s="1254" t="s">
        <v>807</v>
      </c>
      <c r="J4" s="393" t="s">
        <v>806</v>
      </c>
      <c r="K4" s="392">
        <v>1</v>
      </c>
      <c r="N4" s="1878" t="s">
        <v>1862</v>
      </c>
      <c r="O4" s="1396" t="s">
        <v>1849</v>
      </c>
      <c r="P4" s="1397" t="s">
        <v>1863</v>
      </c>
      <c r="Q4" s="1398">
        <v>190000</v>
      </c>
      <c r="R4" s="1396" t="s">
        <v>1894</v>
      </c>
      <c r="S4" s="1397" t="s">
        <v>1895</v>
      </c>
      <c r="T4" s="1411">
        <v>148000</v>
      </c>
      <c r="V4" s="1877"/>
      <c r="W4" s="1263" t="s">
        <v>157</v>
      </c>
      <c r="X4" s="1263" t="s">
        <v>1259</v>
      </c>
      <c r="Y4" s="1263" t="s">
        <v>157</v>
      </c>
      <c r="Z4" s="1264" t="s">
        <v>1259</v>
      </c>
    </row>
    <row r="5" spans="2:26" ht="12">
      <c r="B5" s="1429" t="str">
        <f t="shared" ref="B5:B12" ca="1" si="0">IF($C$2=1,P4,IF($C$2=2,S4,""))</f>
        <v/>
      </c>
      <c r="C5" s="1431">
        <f ca="1">IF($C$2=1,Q4,IF($C$2=2,T4,0))</f>
        <v>0</v>
      </c>
      <c r="D5" s="1429" t="str">
        <f ca="1">IF($C$2=1,P25,IF($C$2=2,S25,""))</f>
        <v/>
      </c>
      <c r="E5" s="1431">
        <f ca="1">IF($C$2=1,Q25,IF($C$2=2,T25,0))</f>
        <v>0</v>
      </c>
      <c r="G5" s="1255" t="s">
        <v>479</v>
      </c>
      <c r="H5" s="1256" t="s">
        <v>807</v>
      </c>
      <c r="J5" s="395" t="s">
        <v>1508</v>
      </c>
      <c r="K5" s="394">
        <v>2</v>
      </c>
      <c r="N5" s="1879"/>
      <c r="O5" s="1400" t="s">
        <v>1851</v>
      </c>
      <c r="P5" s="1401" t="s">
        <v>1864</v>
      </c>
      <c r="Q5" s="1402">
        <v>250000</v>
      </c>
      <c r="R5" s="1400" t="s">
        <v>1896</v>
      </c>
      <c r="S5" s="1401" t="s">
        <v>1897</v>
      </c>
      <c r="T5" s="1404">
        <v>187000</v>
      </c>
      <c r="V5" s="560" t="s">
        <v>1251</v>
      </c>
      <c r="W5" s="542">
        <v>55000</v>
      </c>
      <c r="X5" s="542">
        <v>49500</v>
      </c>
      <c r="Y5" s="542">
        <v>49500</v>
      </c>
      <c r="Z5" s="1262">
        <v>27500</v>
      </c>
    </row>
    <row r="6" spans="2:26" ht="12">
      <c r="B6" s="1429" t="str">
        <f t="shared" ca="1" si="0"/>
        <v/>
      </c>
      <c r="C6" s="1431">
        <f ca="1">IF($C$2=1,Q5,IF($C$2=2,T5,0))</f>
        <v>0</v>
      </c>
      <c r="D6" s="1429" t="str">
        <f t="shared" ref="D6:D16" ca="1" si="1">IF($C$2=1,P26,IF($C$2=2,S26,""))</f>
        <v/>
      </c>
      <c r="E6" s="1431">
        <f t="shared" ref="E6:E16" ca="1" si="2">IF($C$2=1,Q26,IF($C$2=2,T26,0))</f>
        <v>0</v>
      </c>
      <c r="G6" s="1255" t="s">
        <v>486</v>
      </c>
      <c r="H6" s="1256" t="s">
        <v>807</v>
      </c>
      <c r="J6" s="395" t="s">
        <v>808</v>
      </c>
      <c r="K6" s="394">
        <v>3</v>
      </c>
      <c r="N6" s="1879"/>
      <c r="O6" s="1400" t="s">
        <v>1865</v>
      </c>
      <c r="P6" s="1401" t="s">
        <v>1866</v>
      </c>
      <c r="Q6" s="1402">
        <v>350000</v>
      </c>
      <c r="R6" s="1400" t="s">
        <v>1896</v>
      </c>
      <c r="S6" s="1401" t="s">
        <v>1898</v>
      </c>
      <c r="T6" s="1404">
        <v>242000</v>
      </c>
      <c r="V6" s="560" t="s">
        <v>1512</v>
      </c>
      <c r="W6" s="542">
        <v>20000</v>
      </c>
      <c r="X6" s="542">
        <v>20000</v>
      </c>
      <c r="Y6" s="542">
        <v>21400</v>
      </c>
      <c r="Z6" s="1262">
        <v>21400</v>
      </c>
    </row>
    <row r="7" spans="2:26" ht="12">
      <c r="B7" s="1429" t="str">
        <f t="shared" ca="1" si="0"/>
        <v/>
      </c>
      <c r="C7" s="1431">
        <f ca="1">IF($C$2=1,Q6,IF($C$2=2,T6,0))</f>
        <v>0</v>
      </c>
      <c r="D7" s="1429" t="str">
        <f t="shared" ca="1" si="1"/>
        <v/>
      </c>
      <c r="E7" s="1431">
        <f t="shared" ca="1" si="2"/>
        <v>0</v>
      </c>
      <c r="G7" s="1257" t="s">
        <v>18</v>
      </c>
      <c r="H7" s="1258" t="s">
        <v>1508</v>
      </c>
      <c r="N7" s="1879"/>
      <c r="O7" s="1875" t="s">
        <v>1849</v>
      </c>
      <c r="P7" s="1410" t="s">
        <v>1867</v>
      </c>
      <c r="Q7" s="1449">
        <v>148000</v>
      </c>
      <c r="R7" s="1400" t="s">
        <v>1854</v>
      </c>
      <c r="S7" s="1401" t="s">
        <v>1899</v>
      </c>
      <c r="T7" s="1404">
        <v>330000</v>
      </c>
      <c r="V7" s="560" t="s">
        <v>1253</v>
      </c>
      <c r="W7" s="542">
        <v>2000</v>
      </c>
      <c r="X7" s="542">
        <v>2000</v>
      </c>
      <c r="Y7" s="542">
        <v>2000</v>
      </c>
      <c r="Z7" s="1262">
        <v>2000</v>
      </c>
    </row>
    <row r="8" spans="2:26" ht="12">
      <c r="B8" s="1429" t="str">
        <f t="shared" ca="1" si="0"/>
        <v/>
      </c>
      <c r="C8" s="1431">
        <f ca="1">IF($C$2=1,Q7,IF($C$2=2,T7,0))</f>
        <v>0</v>
      </c>
      <c r="D8" s="1429" t="str">
        <f t="shared" ca="1" si="1"/>
        <v/>
      </c>
      <c r="E8" s="1431">
        <f t="shared" ca="1" si="2"/>
        <v>0</v>
      </c>
      <c r="G8" s="1257" t="s">
        <v>19</v>
      </c>
      <c r="H8" s="1258" t="s">
        <v>1508</v>
      </c>
      <c r="N8" s="1879"/>
      <c r="O8" s="1875"/>
      <c r="P8" s="1401" t="s">
        <v>1868</v>
      </c>
      <c r="Q8" s="1402">
        <v>242000</v>
      </c>
      <c r="R8" s="1412"/>
      <c r="S8" s="412" t="s">
        <v>1900</v>
      </c>
      <c r="T8" s="1406"/>
      <c r="V8" s="560" t="s">
        <v>1514</v>
      </c>
      <c r="W8" s="542">
        <v>9900</v>
      </c>
      <c r="X8" s="542">
        <v>9900</v>
      </c>
      <c r="Y8" s="542">
        <v>9900</v>
      </c>
      <c r="Z8" s="1262">
        <v>9900</v>
      </c>
    </row>
    <row r="9" spans="2:26" ht="12">
      <c r="B9" s="1429" t="str">
        <f t="shared" ca="1" si="0"/>
        <v/>
      </c>
      <c r="C9" s="1431">
        <f t="shared" ref="C9:C12" ca="1" si="3">IF($C$2=1,Q8,IF($C$2=2,T8,0))</f>
        <v>0</v>
      </c>
      <c r="D9" s="1429" t="str">
        <f t="shared" ca="1" si="1"/>
        <v/>
      </c>
      <c r="E9" s="1431">
        <f t="shared" ca="1" si="2"/>
        <v>0</v>
      </c>
      <c r="G9" s="1257" t="s">
        <v>20</v>
      </c>
      <c r="H9" s="1258" t="s">
        <v>1508</v>
      </c>
      <c r="N9" s="1879"/>
      <c r="O9" s="1875" t="s">
        <v>1851</v>
      </c>
      <c r="P9" s="1401" t="s">
        <v>1869</v>
      </c>
      <c r="Q9" s="1450">
        <v>187000</v>
      </c>
      <c r="R9" s="1412"/>
      <c r="S9" s="412" t="s">
        <v>1900</v>
      </c>
      <c r="T9" s="1406"/>
      <c r="V9" s="560" t="s">
        <v>326</v>
      </c>
      <c r="W9" s="542">
        <v>0</v>
      </c>
      <c r="X9" s="542">
        <v>9900</v>
      </c>
      <c r="Y9" s="542">
        <v>0</v>
      </c>
      <c r="Z9" s="1262">
        <v>9900</v>
      </c>
    </row>
    <row r="10" spans="2:26" ht="12">
      <c r="B10" s="1429" t="str">
        <f t="shared" ca="1" si="0"/>
        <v/>
      </c>
      <c r="C10" s="1431">
        <f t="shared" ca="1" si="3"/>
        <v>0</v>
      </c>
      <c r="D10" s="1429" t="str">
        <f t="shared" ca="1" si="1"/>
        <v/>
      </c>
      <c r="E10" s="1431">
        <f t="shared" ca="1" si="2"/>
        <v>0</v>
      </c>
      <c r="G10" s="1257" t="s">
        <v>21</v>
      </c>
      <c r="H10" s="1258" t="s">
        <v>1508</v>
      </c>
      <c r="N10" s="1879"/>
      <c r="O10" s="1875"/>
      <c r="P10" s="1401" t="s">
        <v>1870</v>
      </c>
      <c r="Q10" s="1402">
        <v>267000</v>
      </c>
      <c r="R10" s="1412"/>
      <c r="S10" s="412" t="s">
        <v>1900</v>
      </c>
      <c r="T10" s="1406"/>
      <c r="V10" s="560" t="s">
        <v>230</v>
      </c>
      <c r="W10" s="542">
        <v>121000</v>
      </c>
      <c r="X10" s="542" t="s">
        <v>1526</v>
      </c>
      <c r="Y10" s="542"/>
      <c r="Z10" s="1262"/>
    </row>
    <row r="11" spans="2:26" ht="12.75" thickBot="1">
      <c r="B11" s="1429" t="str">
        <f t="shared" ca="1" si="0"/>
        <v/>
      </c>
      <c r="C11" s="1431">
        <f t="shared" ca="1" si="3"/>
        <v>0</v>
      </c>
      <c r="D11" s="1429" t="str">
        <f t="shared" ca="1" si="1"/>
        <v/>
      </c>
      <c r="E11" s="1431">
        <f t="shared" ca="1" si="2"/>
        <v>0</v>
      </c>
      <c r="G11" s="1257" t="s">
        <v>22</v>
      </c>
      <c r="H11" s="1258" t="s">
        <v>1508</v>
      </c>
      <c r="N11" s="1880"/>
      <c r="O11" s="1407" t="s">
        <v>1851</v>
      </c>
      <c r="P11" s="1408" t="s">
        <v>1871</v>
      </c>
      <c r="Q11" s="1409">
        <v>190000</v>
      </c>
      <c r="R11" s="1412"/>
      <c r="S11" s="412" t="s">
        <v>1900</v>
      </c>
      <c r="T11" s="1413"/>
      <c r="V11" s="560" t="s">
        <v>1517</v>
      </c>
      <c r="W11" s="542">
        <v>165000</v>
      </c>
      <c r="X11" s="542" t="s">
        <v>1527</v>
      </c>
      <c r="Y11" s="542"/>
      <c r="Z11" s="1262"/>
    </row>
    <row r="12" spans="2:26" ht="12">
      <c r="B12" s="1429" t="str">
        <f t="shared" ca="1" si="0"/>
        <v/>
      </c>
      <c r="C12" s="1434">
        <f t="shared" ca="1" si="3"/>
        <v>0</v>
      </c>
      <c r="D12" s="1429" t="str">
        <f t="shared" ca="1" si="1"/>
        <v/>
      </c>
      <c r="E12" s="1431">
        <f t="shared" ca="1" si="2"/>
        <v>0</v>
      </c>
      <c r="G12" s="1257" t="s">
        <v>23</v>
      </c>
      <c r="H12" s="1258" t="s">
        <v>1508</v>
      </c>
      <c r="N12" s="1878" t="s">
        <v>1848</v>
      </c>
      <c r="O12" s="1396" t="s">
        <v>1849</v>
      </c>
      <c r="P12" s="1397" t="s">
        <v>1910</v>
      </c>
      <c r="Q12" s="1398">
        <v>0</v>
      </c>
      <c r="R12" s="1396" t="s">
        <v>1849</v>
      </c>
      <c r="S12" s="1397" t="s">
        <v>1910</v>
      </c>
      <c r="T12" s="1399">
        <v>0</v>
      </c>
      <c r="V12" s="560" t="s">
        <v>1518</v>
      </c>
      <c r="W12" s="542">
        <v>77000</v>
      </c>
      <c r="X12" s="542" t="s">
        <v>1721</v>
      </c>
      <c r="Y12" s="542"/>
      <c r="Z12" s="1262"/>
    </row>
    <row r="13" spans="2:26" ht="12">
      <c r="B13" s="1427" t="s">
        <v>809</v>
      </c>
      <c r="C13" s="1428"/>
      <c r="D13" s="1429" t="str">
        <f t="shared" ca="1" si="1"/>
        <v/>
      </c>
      <c r="E13" s="1431">
        <f t="shared" ca="1" si="2"/>
        <v>0</v>
      </c>
      <c r="G13" s="1257" t="s">
        <v>24</v>
      </c>
      <c r="H13" s="1258" t="s">
        <v>1508</v>
      </c>
      <c r="N13" s="1879"/>
      <c r="O13" s="1400" t="s">
        <v>1849</v>
      </c>
      <c r="P13" s="1401" t="s">
        <v>1911</v>
      </c>
      <c r="Q13" s="1402">
        <v>55000</v>
      </c>
      <c r="R13" s="1400" t="s">
        <v>1849</v>
      </c>
      <c r="S13" s="1401" t="s">
        <v>1911</v>
      </c>
      <c r="T13" s="1403">
        <v>77000</v>
      </c>
      <c r="V13" s="560" t="s">
        <v>1520</v>
      </c>
      <c r="W13" s="542">
        <v>239000</v>
      </c>
      <c r="X13" s="542" t="s">
        <v>1529</v>
      </c>
      <c r="Y13" s="542"/>
      <c r="Z13" s="1262"/>
    </row>
    <row r="14" spans="2:26" ht="12">
      <c r="B14" s="1429" t="str">
        <f ca="1">IF($C$2=1,"미제공",IF($C$2=2,"미제공",""))</f>
        <v/>
      </c>
      <c r="C14" s="1430">
        <v>0</v>
      </c>
      <c r="D14" s="1429" t="str">
        <f t="shared" ca="1" si="1"/>
        <v/>
      </c>
      <c r="E14" s="1431">
        <f t="shared" ca="1" si="2"/>
        <v>0</v>
      </c>
      <c r="G14" s="1257" t="s">
        <v>25</v>
      </c>
      <c r="H14" s="1258" t="s">
        <v>1508</v>
      </c>
      <c r="N14" s="1879"/>
      <c r="O14" s="1400" t="s">
        <v>1851</v>
      </c>
      <c r="P14" s="1401" t="s">
        <v>1852</v>
      </c>
      <c r="Q14" s="1402">
        <v>140000</v>
      </c>
      <c r="R14" s="1400" t="s">
        <v>1851</v>
      </c>
      <c r="S14" s="1401" t="s">
        <v>1852</v>
      </c>
      <c r="T14" s="1404">
        <v>140000</v>
      </c>
      <c r="V14" s="560" t="s">
        <v>1519</v>
      </c>
      <c r="W14" s="542">
        <v>99000</v>
      </c>
      <c r="X14" s="542" t="s">
        <v>1721</v>
      </c>
      <c r="Y14" s="542"/>
      <c r="Z14" s="1262"/>
    </row>
    <row r="15" spans="2:26" ht="12.75" thickBot="1">
      <c r="B15" s="1429" t="str">
        <f ca="1">IF($C$2=1,P12,IF($C$2=2,S12,""))</f>
        <v/>
      </c>
      <c r="C15" s="1431">
        <v>0</v>
      </c>
      <c r="D15" s="1429" t="str">
        <f t="shared" ca="1" si="1"/>
        <v/>
      </c>
      <c r="E15" s="1431">
        <f t="shared" ca="1" si="2"/>
        <v>0</v>
      </c>
      <c r="G15" s="1259" t="s">
        <v>68</v>
      </c>
      <c r="H15" s="1260" t="s">
        <v>1508</v>
      </c>
      <c r="N15" s="1879"/>
      <c r="O15" s="1400" t="s">
        <v>1851</v>
      </c>
      <c r="P15" s="1401" t="s">
        <v>1853</v>
      </c>
      <c r="Q15" s="1402">
        <v>198000</v>
      </c>
      <c r="R15" s="1400" t="s">
        <v>1851</v>
      </c>
      <c r="S15" s="1401" t="s">
        <v>1853</v>
      </c>
      <c r="T15" s="1404">
        <v>220000</v>
      </c>
      <c r="V15" s="560" t="s">
        <v>1521</v>
      </c>
      <c r="W15" s="542">
        <v>148500</v>
      </c>
      <c r="X15" s="542" t="s">
        <v>1529</v>
      </c>
      <c r="Y15" s="542"/>
      <c r="Z15" s="1262"/>
    </row>
    <row r="16" spans="2:26" ht="12">
      <c r="B16" s="1429" t="str">
        <f t="shared" ref="B16:B21" ca="1" si="4">IF($C$2=1,P13,IF($C$2=2,S13,""))</f>
        <v/>
      </c>
      <c r="C16" s="1431">
        <f ca="1">IF($C$2=1,Q13,IF($C$2=2,T13,0))</f>
        <v>0</v>
      </c>
      <c r="D16" s="1429" t="str">
        <f t="shared" ca="1" si="1"/>
        <v/>
      </c>
      <c r="E16" s="1431">
        <f t="shared" ca="1" si="2"/>
        <v>0</v>
      </c>
      <c r="N16" s="1879"/>
      <c r="O16" s="1400" t="s">
        <v>1854</v>
      </c>
      <c r="P16" s="1401" t="s">
        <v>1855</v>
      </c>
      <c r="Q16" s="1402">
        <v>510000</v>
      </c>
      <c r="R16" s="1405" t="s">
        <v>1854</v>
      </c>
      <c r="S16" s="1401" t="s">
        <v>1857</v>
      </c>
      <c r="T16" s="1404">
        <v>495000</v>
      </c>
      <c r="V16" s="1277" t="s">
        <v>1559</v>
      </c>
      <c r="W16" s="542">
        <v>0</v>
      </c>
      <c r="X16" s="542"/>
      <c r="Y16" s="542"/>
      <c r="Z16" s="1262"/>
    </row>
    <row r="17" spans="2:26" ht="16.5" customHeight="1">
      <c r="B17" s="1429" t="str">
        <f t="shared" ca="1" si="4"/>
        <v/>
      </c>
      <c r="C17" s="1431">
        <f t="shared" ref="C17:C19" ca="1" si="5">IF($C$2=1,Q14,IF($C$2=2,T14,0))</f>
        <v>0</v>
      </c>
      <c r="D17" s="1427" t="s">
        <v>1883</v>
      </c>
      <c r="E17" s="1428"/>
      <c r="N17" s="1879"/>
      <c r="O17" s="1400" t="s">
        <v>1854</v>
      </c>
      <c r="P17" s="1401" t="s">
        <v>1857</v>
      </c>
      <c r="Q17" s="1402">
        <v>700000</v>
      </c>
      <c r="R17" s="1405" t="s">
        <v>1854</v>
      </c>
      <c r="S17" s="1401" t="s">
        <v>1856</v>
      </c>
      <c r="T17" s="1404">
        <v>407000</v>
      </c>
      <c r="V17" s="1277" t="s">
        <v>1719</v>
      </c>
      <c r="W17" s="542">
        <v>50000</v>
      </c>
      <c r="X17" s="542"/>
      <c r="Y17" s="542"/>
      <c r="Z17" s="1262"/>
    </row>
    <row r="18" spans="2:26" ht="12.75" thickBot="1">
      <c r="B18" s="1429" t="str">
        <f t="shared" ca="1" si="4"/>
        <v/>
      </c>
      <c r="C18" s="1431">
        <f t="shared" ca="1" si="5"/>
        <v>0</v>
      </c>
      <c r="D18" s="1429" t="str">
        <f ca="1">IF($C$2=1,"미제공",IF($C$2=2,"미제공",""))</f>
        <v/>
      </c>
      <c r="E18" s="1430">
        <v>0</v>
      </c>
      <c r="N18" s="1880"/>
      <c r="O18" s="1407" t="s">
        <v>1854</v>
      </c>
      <c r="P18" s="1408" t="s">
        <v>1858</v>
      </c>
      <c r="Q18" s="1409">
        <v>490000</v>
      </c>
      <c r="R18" s="1445" t="s">
        <v>1854</v>
      </c>
      <c r="S18" s="1408" t="s">
        <v>1859</v>
      </c>
      <c r="T18" s="1446">
        <v>495000</v>
      </c>
      <c r="V18" s="562" t="s">
        <v>1720</v>
      </c>
      <c r="W18" s="568">
        <v>100000</v>
      </c>
      <c r="X18" s="568"/>
      <c r="Y18" s="568"/>
      <c r="Z18" s="569"/>
    </row>
    <row r="19" spans="2:26" ht="12.75" thickBot="1">
      <c r="B19" s="1429" t="str">
        <f t="shared" ca="1" si="4"/>
        <v/>
      </c>
      <c r="C19" s="1431">
        <f t="shared" ca="1" si="5"/>
        <v>0</v>
      </c>
      <c r="D19" s="1429" t="str">
        <f ca="1">IF($C$2=1,P37,IF($C$2=2,S37,""))</f>
        <v/>
      </c>
      <c r="E19" s="1435">
        <f ca="1">IF($C$2=1,Q37,IF($C$2=2,T37,0))</f>
        <v>0</v>
      </c>
      <c r="N19" s="1878" t="s">
        <v>1860</v>
      </c>
      <c r="O19" s="1396" t="s">
        <v>1849</v>
      </c>
      <c r="P19" s="1397" t="s">
        <v>1850</v>
      </c>
      <c r="Q19" s="1398">
        <v>77000</v>
      </c>
      <c r="R19" s="1396" t="s">
        <v>1849</v>
      </c>
      <c r="S19" s="1397" t="s">
        <v>1850</v>
      </c>
      <c r="T19" s="1447">
        <v>90000</v>
      </c>
    </row>
    <row r="20" spans="2:26" ht="12">
      <c r="B20" s="1429" t="str">
        <f t="shared" ca="1" si="4"/>
        <v/>
      </c>
      <c r="C20" s="1431">
        <f ca="1">IF($C$2=1,Q17,IF($C$2=2,T17,0))</f>
        <v>0</v>
      </c>
      <c r="D20" s="1429" t="str">
        <f t="shared" ref="D20:D21" ca="1" si="6">IF($C$2=1,P38,IF($C$2=2,S38,""))</f>
        <v/>
      </c>
      <c r="E20" s="1435">
        <f t="shared" ref="E20:E21" ca="1" si="7">IF($C$2=1,Q38,IF($C$2=2,T38,0))</f>
        <v>0</v>
      </c>
      <c r="N20" s="1879"/>
      <c r="O20" s="1400" t="s">
        <v>1851</v>
      </c>
      <c r="P20" s="1410" t="s">
        <v>1852</v>
      </c>
      <c r="Q20" s="1449">
        <v>140000</v>
      </c>
      <c r="R20" s="1400" t="s">
        <v>1851</v>
      </c>
      <c r="S20" s="1410" t="s">
        <v>1852</v>
      </c>
      <c r="T20" s="1404">
        <v>140000</v>
      </c>
      <c r="V20" s="1876" t="s">
        <v>1530</v>
      </c>
      <c r="W20" s="1872" t="s">
        <v>1522</v>
      </c>
      <c r="X20" s="1874"/>
      <c r="Y20" s="1872" t="s">
        <v>1525</v>
      </c>
      <c r="Z20" s="1873"/>
    </row>
    <row r="21" spans="2:26" ht="12">
      <c r="B21" s="1429" t="str">
        <f t="shared" ca="1" si="4"/>
        <v/>
      </c>
      <c r="C21" s="1434">
        <f ca="1">IF($C$2=1,Q18,IF($C$2=2,T18,0))</f>
        <v>0</v>
      </c>
      <c r="D21" s="1433" t="str">
        <f t="shared" ca="1" si="6"/>
        <v/>
      </c>
      <c r="E21" s="1436">
        <f t="shared" ca="1" si="7"/>
        <v>0</v>
      </c>
      <c r="N21" s="1879"/>
      <c r="O21" s="1400" t="s">
        <v>1851</v>
      </c>
      <c r="P21" s="1401" t="s">
        <v>1853</v>
      </c>
      <c r="Q21" s="1402">
        <v>199000</v>
      </c>
      <c r="R21" s="1400" t="s">
        <v>1851</v>
      </c>
      <c r="S21" s="1401" t="s">
        <v>1853</v>
      </c>
      <c r="T21" s="1404">
        <v>187000</v>
      </c>
      <c r="V21" s="1877"/>
      <c r="W21" s="1263" t="s">
        <v>1523</v>
      </c>
      <c r="X21" s="1263" t="s">
        <v>1524</v>
      </c>
      <c r="Y21" s="1263" t="s">
        <v>1523</v>
      </c>
      <c r="Z21" s="1264" t="s">
        <v>1524</v>
      </c>
    </row>
    <row r="22" spans="2:26" ht="12">
      <c r="B22" s="1427" t="s">
        <v>240</v>
      </c>
      <c r="C22" s="1448"/>
      <c r="D22" s="1427" t="s">
        <v>1884</v>
      </c>
      <c r="E22" s="1428"/>
      <c r="N22" s="1879"/>
      <c r="O22" s="1400" t="s">
        <v>1854</v>
      </c>
      <c r="P22" s="1401" t="s">
        <v>1855</v>
      </c>
      <c r="Q22" s="1402">
        <v>370000</v>
      </c>
      <c r="R22" s="1400" t="s">
        <v>1854</v>
      </c>
      <c r="S22" s="1401" t="s">
        <v>1857</v>
      </c>
      <c r="T22" s="1404">
        <v>297000</v>
      </c>
      <c r="V22" s="560" t="s">
        <v>1511</v>
      </c>
      <c r="W22" s="542">
        <v>47000</v>
      </c>
      <c r="X22" s="542">
        <v>26000</v>
      </c>
      <c r="Y22" s="542">
        <v>47000</v>
      </c>
      <c r="Z22" s="1262">
        <v>26000</v>
      </c>
    </row>
    <row r="23" spans="2:26" ht="12">
      <c r="B23" s="1429" t="str">
        <f ca="1">IF($C$2=1,"미제공",IF($C$2=2,"미제공",""))</f>
        <v/>
      </c>
      <c r="C23" s="1430">
        <v>0</v>
      </c>
      <c r="D23" s="1429" t="str">
        <f ca="1">IF($C$2=1,"미제공",IF($C$2=2,"미제공",""))</f>
        <v/>
      </c>
      <c r="E23" s="1430">
        <v>0</v>
      </c>
      <c r="N23" s="1879"/>
      <c r="O23" s="1400" t="s">
        <v>1854</v>
      </c>
      <c r="P23" s="1401" t="s">
        <v>1857</v>
      </c>
      <c r="Q23" s="1402">
        <v>490000</v>
      </c>
      <c r="R23" s="1400" t="s">
        <v>1854</v>
      </c>
      <c r="S23" s="1401" t="s">
        <v>1856</v>
      </c>
      <c r="T23" s="1404">
        <v>270000</v>
      </c>
      <c r="V23" s="560" t="s">
        <v>1512</v>
      </c>
      <c r="W23" s="542">
        <v>21400</v>
      </c>
      <c r="X23" s="542">
        <v>21400</v>
      </c>
      <c r="Y23" s="542">
        <v>21400</v>
      </c>
      <c r="Z23" s="1262">
        <v>21400</v>
      </c>
    </row>
    <row r="24" spans="2:26" ht="12.75" thickBot="1">
      <c r="B24" s="1429" t="str">
        <f ca="1">IF($C$2=1,P19,IF($C$2=2,S19,""))</f>
        <v/>
      </c>
      <c r="C24" s="1431">
        <f ca="1">IF($C$2=1,Q19,IF($C$2=2,T19,0))</f>
        <v>0</v>
      </c>
      <c r="D24" s="1432" t="str">
        <f ca="1">IF($C$2=1,P40,IF($C$2=2,S40,""))</f>
        <v/>
      </c>
      <c r="E24" s="1435">
        <f ca="1">IF($C$2=1,Q40,IF($C$2=2,T40,0))</f>
        <v>0</v>
      </c>
      <c r="N24" s="1880"/>
      <c r="O24" s="1407" t="s">
        <v>1854</v>
      </c>
      <c r="P24" s="1408" t="s">
        <v>1858</v>
      </c>
      <c r="Q24" s="1409">
        <v>360000</v>
      </c>
      <c r="R24" s="1445" t="s">
        <v>1854</v>
      </c>
      <c r="S24" s="1408" t="s">
        <v>1859</v>
      </c>
      <c r="T24" s="1446">
        <v>341000</v>
      </c>
      <c r="V24" s="560"/>
      <c r="W24" s="542"/>
      <c r="X24" s="542"/>
      <c r="Y24" s="542"/>
      <c r="Z24" s="1262"/>
    </row>
    <row r="25" spans="2:26" ht="12">
      <c r="B25" s="1429" t="str">
        <f t="shared" ref="B25:B29" ca="1" si="8">IF($C$2=1,P20,IF($C$2=2,S20,""))</f>
        <v/>
      </c>
      <c r="C25" s="1431">
        <f t="shared" ref="C25:C28" ca="1" si="9">IF($C$2=1,Q20,IF($C$2=2,T20,0))</f>
        <v>0</v>
      </c>
      <c r="D25" s="1432" t="str">
        <f t="shared" ref="D25:D27" ca="1" si="10">IF($C$2=1,P41,IF($C$2=2,S41,""))</f>
        <v/>
      </c>
      <c r="E25" s="1435">
        <f ca="1">IF($C$2=1,Q41,IF($C$2=2,T41,0))</f>
        <v>0</v>
      </c>
      <c r="N25" s="1881" t="s">
        <v>1885</v>
      </c>
      <c r="O25" s="1396" t="s">
        <v>1849</v>
      </c>
      <c r="P25" s="1397" t="s">
        <v>1901</v>
      </c>
      <c r="Q25" s="1398">
        <v>50000</v>
      </c>
      <c r="R25" s="1396" t="s">
        <v>1849</v>
      </c>
      <c r="S25" s="1397" t="s">
        <v>1901</v>
      </c>
      <c r="T25" s="1411">
        <v>50000</v>
      </c>
      <c r="V25" s="560" t="s">
        <v>1513</v>
      </c>
      <c r="W25" s="542">
        <v>2000</v>
      </c>
      <c r="X25" s="542">
        <v>2000</v>
      </c>
      <c r="Y25" s="542">
        <v>2000</v>
      </c>
      <c r="Z25" s="1262">
        <v>2000</v>
      </c>
    </row>
    <row r="26" spans="2:26" ht="12">
      <c r="B26" s="1429" t="str">
        <f t="shared" ca="1" si="8"/>
        <v/>
      </c>
      <c r="C26" s="1431">
        <f t="shared" ca="1" si="9"/>
        <v>0</v>
      </c>
      <c r="D26" s="1432" t="str">
        <f t="shared" ca="1" si="10"/>
        <v/>
      </c>
      <c r="E26" s="1435">
        <f ca="1">IF($C$2=1,Q42,IF($C$2=2,T42,0))</f>
        <v>0</v>
      </c>
      <c r="N26" s="1882"/>
      <c r="O26" s="1400" t="s">
        <v>1851</v>
      </c>
      <c r="P26" s="1401" t="s">
        <v>1902</v>
      </c>
      <c r="Q26" s="1402">
        <v>80000</v>
      </c>
      <c r="R26" s="1400" t="s">
        <v>1851</v>
      </c>
      <c r="S26" s="1401" t="s">
        <v>1902</v>
      </c>
      <c r="T26" s="1402">
        <v>120000</v>
      </c>
      <c r="V26" s="560" t="s">
        <v>1514</v>
      </c>
      <c r="W26" s="542">
        <v>9900</v>
      </c>
      <c r="X26" s="542">
        <v>9900</v>
      </c>
      <c r="Y26" s="542">
        <v>9900</v>
      </c>
      <c r="Z26" s="1262">
        <v>9900</v>
      </c>
    </row>
    <row r="27" spans="2:26" ht="12">
      <c r="B27" s="1429" t="str">
        <f t="shared" ca="1" si="8"/>
        <v/>
      </c>
      <c r="C27" s="1431">
        <f t="shared" ca="1" si="9"/>
        <v>0</v>
      </c>
      <c r="D27" s="1432" t="str">
        <f t="shared" ca="1" si="10"/>
        <v/>
      </c>
      <c r="E27" s="1435">
        <f ca="1">IF($C$2=1,Q43,IF($C$2=2,T43,0))</f>
        <v>0</v>
      </c>
      <c r="N27" s="1882"/>
      <c r="O27" s="1400" t="s">
        <v>1851</v>
      </c>
      <c r="P27" s="1401" t="s">
        <v>1903</v>
      </c>
      <c r="Q27" s="1402">
        <v>100000</v>
      </c>
      <c r="R27" s="1400" t="s">
        <v>1851</v>
      </c>
      <c r="S27" s="1401" t="s">
        <v>1903</v>
      </c>
      <c r="T27" s="1402">
        <v>150000</v>
      </c>
      <c r="V27" s="560" t="s">
        <v>1515</v>
      </c>
      <c r="W27" s="542">
        <v>0</v>
      </c>
      <c r="X27" s="542">
        <v>9900</v>
      </c>
      <c r="Y27" s="542">
        <v>0</v>
      </c>
      <c r="Z27" s="1262">
        <v>9900</v>
      </c>
    </row>
    <row r="28" spans="2:26" ht="12">
      <c r="B28" s="1429" t="str">
        <f t="shared" ca="1" si="8"/>
        <v/>
      </c>
      <c r="C28" s="1431">
        <f t="shared" ca="1" si="9"/>
        <v>0</v>
      </c>
      <c r="D28" s="1437" t="str">
        <f ca="1">IF($C$2=1,"",IF($C$2=2,S44,""))</f>
        <v/>
      </c>
      <c r="E28" s="1436">
        <f ca="1">IF($C$2=1,Q44,IF($C$2=2,T44,0))</f>
        <v>0</v>
      </c>
      <c r="N28" s="1882"/>
      <c r="O28" s="1400" t="s">
        <v>1854</v>
      </c>
      <c r="P28" s="1401" t="s">
        <v>1908</v>
      </c>
      <c r="Q28" s="1402">
        <v>120000</v>
      </c>
      <c r="R28" s="1400" t="s">
        <v>1854</v>
      </c>
      <c r="S28" s="1401" t="s">
        <v>1904</v>
      </c>
      <c r="T28" s="1402">
        <v>187000</v>
      </c>
      <c r="V28" s="560" t="s">
        <v>1516</v>
      </c>
      <c r="W28" s="542">
        <v>121000</v>
      </c>
      <c r="X28" s="542" t="s">
        <v>1526</v>
      </c>
      <c r="Y28" s="542"/>
      <c r="Z28" s="1262"/>
    </row>
    <row r="29" spans="2:26" ht="16.5" customHeight="1">
      <c r="B29" s="1433" t="str">
        <f t="shared" ca="1" si="8"/>
        <v/>
      </c>
      <c r="C29" s="1434">
        <f ca="1">IF($C$2=1,Q24,IF($C$2=2,T24,0))</f>
        <v>0</v>
      </c>
      <c r="N29" s="1882"/>
      <c r="O29" s="1400" t="s">
        <v>1854</v>
      </c>
      <c r="P29" s="1401" t="s">
        <v>1904</v>
      </c>
      <c r="Q29" s="1402">
        <v>150000</v>
      </c>
      <c r="R29" s="1400" t="s">
        <v>1854</v>
      </c>
      <c r="S29" s="1401" t="s">
        <v>1905</v>
      </c>
      <c r="T29" s="1404">
        <v>180000</v>
      </c>
      <c r="V29" s="560" t="s">
        <v>1517</v>
      </c>
      <c r="W29" s="542">
        <v>165000</v>
      </c>
      <c r="X29" s="542" t="s">
        <v>1527</v>
      </c>
      <c r="Y29" s="542"/>
      <c r="Z29" s="1262"/>
    </row>
    <row r="30" spans="2:26" ht="16.5" customHeight="1" thickBot="1">
      <c r="C30" s="1261"/>
      <c r="N30" s="1883"/>
      <c r="O30" s="1407" t="s">
        <v>1854</v>
      </c>
      <c r="P30" s="1408" t="s">
        <v>1909</v>
      </c>
      <c r="Q30" s="1409">
        <v>110000</v>
      </c>
      <c r="R30" s="1445" t="s">
        <v>1854</v>
      </c>
      <c r="S30" s="1408" t="s">
        <v>1906</v>
      </c>
      <c r="T30" s="1446">
        <v>187000</v>
      </c>
      <c r="V30" s="560" t="s">
        <v>1518</v>
      </c>
      <c r="W30" s="542">
        <v>77000</v>
      </c>
      <c r="X30" s="542" t="s">
        <v>1528</v>
      </c>
      <c r="Y30" s="542"/>
      <c r="Z30" s="1262"/>
    </row>
    <row r="31" spans="2:26" ht="12.75" thickBot="1">
      <c r="B31" s="43" t="s">
        <v>810</v>
      </c>
      <c r="N31" s="1881" t="s">
        <v>1861</v>
      </c>
      <c r="O31" s="1396" t="s">
        <v>1849</v>
      </c>
      <c r="P31" s="1397" t="s">
        <v>1912</v>
      </c>
      <c r="Q31" s="1398">
        <v>100000</v>
      </c>
      <c r="R31" s="1396" t="s">
        <v>1849</v>
      </c>
      <c r="S31" s="1397" t="s">
        <v>1912</v>
      </c>
      <c r="T31" s="1411">
        <v>100000</v>
      </c>
      <c r="V31" s="560" t="s">
        <v>1520</v>
      </c>
      <c r="W31" s="542">
        <v>140000</v>
      </c>
      <c r="X31" s="542" t="s">
        <v>1529</v>
      </c>
      <c r="Y31" s="542"/>
      <c r="Z31" s="1262"/>
    </row>
    <row r="32" spans="2:26" ht="12">
      <c r="B32" s="45" t="s">
        <v>811</v>
      </c>
      <c r="C32" s="46" t="s">
        <v>812</v>
      </c>
      <c r="N32" s="1882"/>
      <c r="O32" s="1400" t="s">
        <v>1851</v>
      </c>
      <c r="P32" s="1401" t="s">
        <v>1913</v>
      </c>
      <c r="Q32" s="1402">
        <v>120000</v>
      </c>
      <c r="R32" s="1400" t="s">
        <v>1851</v>
      </c>
      <c r="S32" s="1401" t="s">
        <v>1913</v>
      </c>
      <c r="T32" s="1402">
        <v>120000</v>
      </c>
      <c r="V32" s="560" t="s">
        <v>1519</v>
      </c>
      <c r="W32" s="542">
        <v>90000</v>
      </c>
      <c r="X32" s="542" t="s">
        <v>1528</v>
      </c>
      <c r="Y32" s="542"/>
      <c r="Z32" s="1262"/>
    </row>
    <row r="33" spans="2:26" ht="12">
      <c r="B33" s="396" t="s">
        <v>813</v>
      </c>
      <c r="C33" s="397" t="s">
        <v>814</v>
      </c>
      <c r="N33" s="1882"/>
      <c r="O33" s="1400" t="s">
        <v>1851</v>
      </c>
      <c r="P33" s="1401" t="s">
        <v>1914</v>
      </c>
      <c r="Q33" s="1402">
        <v>150000</v>
      </c>
      <c r="R33" s="1400" t="s">
        <v>1851</v>
      </c>
      <c r="S33" s="1401" t="s">
        <v>1914</v>
      </c>
      <c r="T33" s="1402">
        <v>187000</v>
      </c>
      <c r="V33" s="560" t="s">
        <v>1521</v>
      </c>
      <c r="W33" s="542">
        <v>140000</v>
      </c>
      <c r="X33" s="542" t="s">
        <v>1529</v>
      </c>
      <c r="Y33" s="542"/>
      <c r="Z33" s="1262"/>
    </row>
    <row r="34" spans="2:26" ht="12">
      <c r="B34" s="396" t="s">
        <v>815</v>
      </c>
      <c r="C34" s="397" t="s">
        <v>816</v>
      </c>
      <c r="N34" s="1882"/>
      <c r="O34" s="1400" t="s">
        <v>1854</v>
      </c>
      <c r="P34" s="1401" t="s">
        <v>1915</v>
      </c>
      <c r="Q34" s="1402">
        <v>240000</v>
      </c>
      <c r="R34" s="1400" t="s">
        <v>1854</v>
      </c>
      <c r="S34" s="1401" t="s">
        <v>1916</v>
      </c>
      <c r="T34" s="1402">
        <v>330000</v>
      </c>
      <c r="V34" s="1277" t="s">
        <v>1559</v>
      </c>
      <c r="W34" s="542">
        <v>0</v>
      </c>
      <c r="X34" s="542"/>
      <c r="Y34" s="542"/>
      <c r="Z34" s="1262"/>
    </row>
    <row r="35" spans="2:26" ht="12">
      <c r="B35" s="396" t="s">
        <v>817</v>
      </c>
      <c r="C35" s="397" t="s">
        <v>818</v>
      </c>
      <c r="N35" s="1882"/>
      <c r="O35" s="1400" t="s">
        <v>1854</v>
      </c>
      <c r="P35" s="1401" t="s">
        <v>1916</v>
      </c>
      <c r="Q35" s="1402">
        <v>320000</v>
      </c>
      <c r="R35" s="1400" t="s">
        <v>1854</v>
      </c>
      <c r="S35" s="1401" t="s">
        <v>1907</v>
      </c>
      <c r="T35" s="1404">
        <v>280000</v>
      </c>
      <c r="V35" s="1277" t="s">
        <v>1719</v>
      </c>
      <c r="W35" s="542">
        <v>50000</v>
      </c>
      <c r="X35" s="542"/>
      <c r="Y35" s="542"/>
      <c r="Z35" s="1262"/>
    </row>
    <row r="36" spans="2:26" ht="12.75" thickBot="1">
      <c r="B36" s="398" t="s">
        <v>661</v>
      </c>
      <c r="C36" s="399" t="s">
        <v>819</v>
      </c>
      <c r="N36" s="1883"/>
      <c r="O36" s="1407" t="s">
        <v>1854</v>
      </c>
      <c r="P36" s="1408" t="s">
        <v>1917</v>
      </c>
      <c r="Q36" s="1409">
        <v>240000</v>
      </c>
      <c r="R36" s="1445" t="s">
        <v>1854</v>
      </c>
      <c r="S36" s="1408" t="s">
        <v>1918</v>
      </c>
      <c r="T36" s="1446">
        <v>330000</v>
      </c>
      <c r="V36" s="562" t="s">
        <v>1720</v>
      </c>
      <c r="W36" s="568">
        <v>100000</v>
      </c>
      <c r="X36" s="568"/>
      <c r="Y36" s="568"/>
      <c r="Z36" s="569"/>
    </row>
    <row r="37" spans="2:26" ht="12">
      <c r="B37" s="398" t="s">
        <v>820</v>
      </c>
      <c r="C37" s="399" t="s">
        <v>821</v>
      </c>
      <c r="N37" s="1878" t="s">
        <v>1872</v>
      </c>
      <c r="O37" s="1438"/>
      <c r="P37" s="1397" t="s">
        <v>1873</v>
      </c>
      <c r="Q37" s="1398">
        <v>220000</v>
      </c>
      <c r="R37" s="1414"/>
      <c r="S37" s="1415" t="s">
        <v>1900</v>
      </c>
      <c r="T37" s="1416"/>
    </row>
    <row r="38" spans="2:26" ht="12">
      <c r="B38" s="400" t="s">
        <v>822</v>
      </c>
      <c r="C38" s="401" t="s">
        <v>823</v>
      </c>
      <c r="N38" s="1879"/>
      <c r="O38" s="1439"/>
      <c r="P38" s="1401" t="s">
        <v>1874</v>
      </c>
      <c r="Q38" s="1402">
        <v>363000</v>
      </c>
      <c r="R38" s="1417"/>
      <c r="S38" s="1442" t="s">
        <v>1889</v>
      </c>
      <c r="T38" s="1443">
        <v>65000</v>
      </c>
    </row>
    <row r="39" spans="2:26" ht="12">
      <c r="B39" s="398" t="s">
        <v>824</v>
      </c>
      <c r="C39" s="399" t="s">
        <v>825</v>
      </c>
      <c r="N39" s="1879"/>
      <c r="O39" s="1439"/>
      <c r="P39" s="1401" t="s">
        <v>1875</v>
      </c>
      <c r="Q39" s="1402">
        <v>110000</v>
      </c>
      <c r="R39" s="1417"/>
      <c r="S39" s="1401" t="s">
        <v>1890</v>
      </c>
      <c r="T39" s="1404">
        <v>85000</v>
      </c>
    </row>
    <row r="40" spans="2:26" ht="12">
      <c r="B40" s="396" t="s">
        <v>826</v>
      </c>
      <c r="C40" s="397" t="s">
        <v>827</v>
      </c>
      <c r="N40" s="1879"/>
      <c r="O40" s="1439"/>
      <c r="P40" s="1401" t="s">
        <v>1876</v>
      </c>
      <c r="Q40" s="1402">
        <v>250000</v>
      </c>
      <c r="R40" s="1417"/>
      <c r="S40" s="1401" t="s">
        <v>1891</v>
      </c>
      <c r="T40" s="1404">
        <v>270000</v>
      </c>
    </row>
    <row r="41" spans="2:26" ht="12">
      <c r="B41" s="398" t="s">
        <v>828</v>
      </c>
      <c r="C41" s="399" t="s">
        <v>829</v>
      </c>
      <c r="N41" s="1879"/>
      <c r="O41" s="1439"/>
      <c r="P41" s="1401" t="s">
        <v>1877</v>
      </c>
      <c r="Q41" s="1402">
        <v>270000</v>
      </c>
      <c r="R41" s="1417"/>
      <c r="S41" s="1401" t="s">
        <v>1892</v>
      </c>
      <c r="T41" s="1404">
        <v>330000</v>
      </c>
    </row>
    <row r="42" spans="2:26" ht="12">
      <c r="B42" s="398" t="s">
        <v>830</v>
      </c>
      <c r="C42" s="399" t="s">
        <v>831</v>
      </c>
      <c r="N42" s="1879"/>
      <c r="P42" s="1401" t="s">
        <v>1887</v>
      </c>
      <c r="Q42" s="1402">
        <v>110000</v>
      </c>
      <c r="R42" s="1417"/>
      <c r="S42" s="1419" t="s">
        <v>1887</v>
      </c>
      <c r="T42" s="1404">
        <v>132000</v>
      </c>
    </row>
    <row r="43" spans="2:26" ht="12.75" thickBot="1">
      <c r="B43" s="398" t="s">
        <v>1292</v>
      </c>
      <c r="C43" s="399" t="s">
        <v>831</v>
      </c>
      <c r="N43" s="1880"/>
      <c r="O43" s="1440"/>
      <c r="P43" s="1418" t="s">
        <v>1888</v>
      </c>
      <c r="Q43" s="1409">
        <v>55000</v>
      </c>
      <c r="R43" s="1441"/>
      <c r="S43" s="1408" t="s">
        <v>1888</v>
      </c>
      <c r="T43" s="1420">
        <v>55000</v>
      </c>
    </row>
    <row r="44" spans="2:26" ht="12">
      <c r="B44" s="398" t="s">
        <v>832</v>
      </c>
      <c r="C44" s="399" t="s">
        <v>833</v>
      </c>
      <c r="S44" s="412" t="s">
        <v>1893</v>
      </c>
      <c r="T44" s="1444">
        <v>137000</v>
      </c>
    </row>
    <row r="45" spans="2:26" ht="12.75" thickBot="1">
      <c r="B45" s="402" t="s">
        <v>834</v>
      </c>
      <c r="C45" s="403">
        <v>400000</v>
      </c>
      <c r="S45" s="412"/>
    </row>
    <row r="46" spans="2:26" ht="12" thickBot="1">
      <c r="B46" s="404" t="s">
        <v>835</v>
      </c>
      <c r="C46" s="405">
        <v>1400000</v>
      </c>
    </row>
    <row r="47" spans="2:26">
      <c r="B47" s="31"/>
      <c r="C47" s="406"/>
    </row>
    <row r="48" spans="2:26" ht="12" thickBot="1">
      <c r="B48" s="43" t="s">
        <v>836</v>
      </c>
      <c r="C48" s="390">
        <f>렌터카견적내기!AO3</f>
        <v>3</v>
      </c>
    </row>
    <row r="49" spans="2:9">
      <c r="B49" s="407" t="s">
        <v>166</v>
      </c>
      <c r="C49" s="408">
        <f>IF(AND(렌터카견적내기!$AO$4=1,렌터카견적내기!$AO$3=3),주요기준!C59,IF($C$48=1,C53,C56))</f>
        <v>44000</v>
      </c>
      <c r="D49" s="1261">
        <f>IF(AND(렌터카견적내기!$AO$4=1,렌터카견적내기!$AO$3=3),주요기준!D59,IF($C$48=1,D53,D56))</f>
        <v>26800</v>
      </c>
      <c r="E49" s="1261">
        <f>IF(AND(렌터카견적내기!$AO$4=1,렌터카견적내기!$AO$3=3),주요기준!E59,IF($C$48=1,E53,E56))</f>
        <v>2000</v>
      </c>
      <c r="F49" s="1261">
        <f>IF(AND(렌터카견적내기!$AO$4=1,렌터카견적내기!$AO$3=3),주요기준!F59,IF($C$48=1,F53,F56))</f>
        <v>0</v>
      </c>
      <c r="G49" s="1261">
        <f>IF(AND(렌터카견적내기!$AO$4=1,렌터카견적내기!$AO$3=3),주요기준!G59,IF($C$48=1,G53,G56))</f>
        <v>0</v>
      </c>
    </row>
    <row r="50" spans="2:9" ht="12" thickBot="1">
      <c r="B50" s="409" t="s">
        <v>172</v>
      </c>
      <c r="C50" s="410">
        <f>IF(AND(렌터카견적내기!$AO$4=1,렌터카견적내기!$AO$3=3),C60,IF($C$48=1,C54,C57))</f>
        <v>44000</v>
      </c>
      <c r="D50" s="1261">
        <f>IF(AND(렌터카견적내기!$AO$4=1,렌터카견적내기!$AO$3=3),D60,IF($C$48=1,D54,D57))</f>
        <v>26800</v>
      </c>
      <c r="E50" s="1261">
        <f>IF(AND(렌터카견적내기!$AO$4=1,렌터카견적내기!$AO$3=3),E60,IF($C$48=1,E54,E57))</f>
        <v>5000</v>
      </c>
      <c r="F50" s="1261">
        <f>IF(AND(렌터카견적내기!$AO$4=1,렌터카견적내기!$AO$3=3),F60,IF($C$48=1,F54,F57))</f>
        <v>0</v>
      </c>
      <c r="G50" s="1261">
        <f>IF(AND(렌터카견적내기!$AO$4=1,렌터카견적내기!$AO$3=3),G60,IF($C$48=1,G54,G57))</f>
        <v>0</v>
      </c>
    </row>
    <row r="52" spans="2:9">
      <c r="B52" s="42" t="s">
        <v>1260</v>
      </c>
      <c r="C52" s="990" t="s">
        <v>1251</v>
      </c>
      <c r="D52" s="990" t="s">
        <v>1252</v>
      </c>
      <c r="E52" s="990" t="s">
        <v>1253</v>
      </c>
      <c r="F52" s="990" t="s">
        <v>1254</v>
      </c>
      <c r="G52" s="990" t="s">
        <v>1255</v>
      </c>
    </row>
    <row r="53" spans="2:9">
      <c r="B53" s="989" t="s">
        <v>1259</v>
      </c>
      <c r="C53" s="988">
        <v>27500</v>
      </c>
      <c r="D53" s="542">
        <v>21400</v>
      </c>
      <c r="E53" s="542">
        <v>2000</v>
      </c>
      <c r="F53" s="542">
        <v>9900</v>
      </c>
      <c r="G53" s="542">
        <v>9900</v>
      </c>
    </row>
    <row r="54" spans="2:9">
      <c r="B54" s="989" t="s">
        <v>1257</v>
      </c>
      <c r="C54" s="988">
        <v>49500</v>
      </c>
      <c r="D54" s="542">
        <v>21400</v>
      </c>
      <c r="E54" s="542">
        <v>2000</v>
      </c>
      <c r="F54" s="542">
        <v>9900</v>
      </c>
      <c r="G54" s="542">
        <v>0</v>
      </c>
    </row>
    <row r="55" spans="2:9">
      <c r="B55" s="43" t="s">
        <v>1510</v>
      </c>
    </row>
    <row r="56" spans="2:9">
      <c r="B56" s="989" t="s">
        <v>1258</v>
      </c>
      <c r="C56" s="988">
        <v>26000</v>
      </c>
      <c r="D56" s="542">
        <v>21400</v>
      </c>
      <c r="E56" s="542">
        <v>2000</v>
      </c>
      <c r="F56" s="542">
        <v>9900</v>
      </c>
      <c r="G56" s="542">
        <v>9900</v>
      </c>
    </row>
    <row r="57" spans="2:9">
      <c r="B57" s="989" t="s">
        <v>1256</v>
      </c>
      <c r="C57" s="542">
        <v>47000</v>
      </c>
      <c r="D57" s="542">
        <v>21400</v>
      </c>
      <c r="E57" s="542">
        <v>2000</v>
      </c>
      <c r="F57" s="542">
        <v>9900</v>
      </c>
      <c r="G57" s="542">
        <v>0</v>
      </c>
    </row>
    <row r="58" spans="2:9" ht="12">
      <c r="B58" s="43" t="s">
        <v>1261</v>
      </c>
      <c r="H58"/>
      <c r="I58"/>
    </row>
    <row r="59" spans="2:9" ht="12">
      <c r="B59" s="989" t="s">
        <v>1416</v>
      </c>
      <c r="C59" s="988">
        <v>44000</v>
      </c>
      <c r="D59" s="542">
        <v>26800</v>
      </c>
      <c r="E59" s="542">
        <v>2000</v>
      </c>
      <c r="F59" s="542">
        <v>0</v>
      </c>
      <c r="G59" s="542">
        <v>0</v>
      </c>
      <c r="H59"/>
    </row>
    <row r="60" spans="2:9" ht="12">
      <c r="B60" s="989" t="s">
        <v>1417</v>
      </c>
      <c r="C60" s="988">
        <v>44000</v>
      </c>
      <c r="D60" s="542">
        <v>26800</v>
      </c>
      <c r="E60" s="542">
        <v>5000</v>
      </c>
      <c r="F60" s="542">
        <v>0</v>
      </c>
      <c r="G60" s="542">
        <v>0</v>
      </c>
      <c r="H60"/>
      <c r="I60"/>
    </row>
    <row r="61" spans="2:9" ht="12">
      <c r="H61"/>
      <c r="I61"/>
    </row>
    <row r="62" spans="2:9" ht="12">
      <c r="B62" s="43" t="s">
        <v>1262</v>
      </c>
      <c r="C62" s="990" t="s">
        <v>1251</v>
      </c>
      <c r="D62" s="990" t="s">
        <v>1252</v>
      </c>
      <c r="E62" s="990" t="s">
        <v>1253</v>
      </c>
      <c r="F62" s="990" t="s">
        <v>1254</v>
      </c>
      <c r="G62" s="990" t="s">
        <v>1255</v>
      </c>
      <c r="H62"/>
      <c r="I62"/>
    </row>
    <row r="63" spans="2:9" ht="12">
      <c r="B63" s="989" t="s">
        <v>1259</v>
      </c>
      <c r="C63" s="988">
        <v>49500</v>
      </c>
      <c r="D63" s="542">
        <v>20000</v>
      </c>
      <c r="E63" s="542">
        <v>2000</v>
      </c>
      <c r="F63" s="542">
        <v>9900</v>
      </c>
      <c r="G63" s="542">
        <v>9900</v>
      </c>
      <c r="H63"/>
      <c r="I63"/>
    </row>
    <row r="64" spans="2:9" ht="12">
      <c r="B64" s="989" t="s">
        <v>1257</v>
      </c>
      <c r="C64" s="988">
        <v>55000</v>
      </c>
      <c r="D64" s="542">
        <v>20000</v>
      </c>
      <c r="E64" s="542">
        <v>2000</v>
      </c>
      <c r="F64" s="542">
        <v>9900</v>
      </c>
      <c r="G64" s="542">
        <v>0</v>
      </c>
      <c r="H64"/>
      <c r="I64"/>
    </row>
    <row r="65" spans="2:9" ht="12">
      <c r="B65" s="43" t="s">
        <v>1509</v>
      </c>
      <c r="H65"/>
      <c r="I65"/>
    </row>
    <row r="66" spans="2:9" ht="12">
      <c r="B66" s="989" t="s">
        <v>1258</v>
      </c>
      <c r="C66" s="542">
        <v>26000</v>
      </c>
      <c r="D66" s="542">
        <v>21400</v>
      </c>
      <c r="E66" s="542">
        <v>2000</v>
      </c>
      <c r="F66" s="542">
        <v>9900</v>
      </c>
      <c r="G66" s="542">
        <v>9900</v>
      </c>
      <c r="H66"/>
      <c r="I66"/>
    </row>
    <row r="67" spans="2:9" ht="12">
      <c r="B67" s="989" t="s">
        <v>1256</v>
      </c>
      <c r="C67" s="542">
        <v>47000</v>
      </c>
      <c r="D67" s="542">
        <v>21400</v>
      </c>
      <c r="E67" s="542">
        <v>2000</v>
      </c>
      <c r="F67" s="542">
        <v>9900</v>
      </c>
      <c r="G67" s="542">
        <v>0</v>
      </c>
      <c r="H67"/>
      <c r="I67"/>
    </row>
    <row r="68" spans="2:9" ht="12">
      <c r="H68"/>
      <c r="I68"/>
    </row>
    <row r="69" spans="2:9" ht="12">
      <c r="H69"/>
      <c r="I69"/>
    </row>
    <row r="70" spans="2:9" ht="12">
      <c r="H70"/>
      <c r="I70"/>
    </row>
    <row r="71" spans="2:9" ht="12">
      <c r="H71"/>
      <c r="I71"/>
    </row>
    <row r="72" spans="2:9" ht="12">
      <c r="H72"/>
      <c r="I72"/>
    </row>
    <row r="73" spans="2:9" ht="12">
      <c r="H73"/>
      <c r="I73"/>
    </row>
    <row r="74" spans="2:9" ht="12">
      <c r="H74"/>
      <c r="I74"/>
    </row>
    <row r="75" spans="2:9" ht="12">
      <c r="H75"/>
      <c r="I75"/>
    </row>
    <row r="76" spans="2:9" ht="12">
      <c r="H76"/>
      <c r="I76"/>
    </row>
    <row r="77" spans="2:9" ht="12">
      <c r="H77"/>
      <c r="I77"/>
    </row>
    <row r="78" spans="2:9" ht="12">
      <c r="H78"/>
      <c r="I78"/>
    </row>
    <row r="79" spans="2:9" ht="12">
      <c r="H79"/>
      <c r="I79"/>
    </row>
    <row r="80" spans="2:9" ht="12">
      <c r="H80"/>
      <c r="I80"/>
    </row>
    <row r="81" spans="8:9" ht="12">
      <c r="H81"/>
      <c r="I81"/>
    </row>
    <row r="82" spans="8:9" ht="12">
      <c r="H82"/>
      <c r="I82"/>
    </row>
    <row r="83" spans="8:9" ht="12">
      <c r="H83"/>
      <c r="I83"/>
    </row>
    <row r="84" spans="8:9" ht="12">
      <c r="H84"/>
      <c r="I84"/>
    </row>
    <row r="85" spans="8:9" ht="12">
      <c r="H85"/>
      <c r="I85"/>
    </row>
    <row r="86" spans="8:9" ht="12">
      <c r="H86"/>
      <c r="I86"/>
    </row>
    <row r="87" spans="8:9" ht="12">
      <c r="H87"/>
      <c r="I87"/>
    </row>
    <row r="88" spans="8:9" ht="12">
      <c r="H88"/>
      <c r="I88"/>
    </row>
    <row r="89" spans="8:9" ht="12">
      <c r="H89"/>
      <c r="I89"/>
    </row>
    <row r="90" spans="8:9" ht="12">
      <c r="H90"/>
      <c r="I90"/>
    </row>
    <row r="91" spans="8:9" ht="12">
      <c r="H91"/>
      <c r="I91"/>
    </row>
    <row r="92" spans="8:9" ht="12">
      <c r="H92"/>
      <c r="I92"/>
    </row>
    <row r="93" spans="8:9" ht="12">
      <c r="H93"/>
      <c r="I93"/>
    </row>
    <row r="94" spans="8:9" ht="12">
      <c r="H94"/>
      <c r="I94"/>
    </row>
    <row r="95" spans="8:9" ht="12">
      <c r="H95"/>
      <c r="I95"/>
    </row>
    <row r="96" spans="8:9" ht="12">
      <c r="H96"/>
      <c r="I96"/>
    </row>
    <row r="97" spans="8:9" ht="12">
      <c r="H97"/>
      <c r="I97"/>
    </row>
    <row r="98" spans="8:9" ht="12">
      <c r="H98"/>
      <c r="I98"/>
    </row>
    <row r="99" spans="8:9" ht="12">
      <c r="H99"/>
      <c r="I99"/>
    </row>
    <row r="100" spans="8:9" ht="12">
      <c r="H100"/>
      <c r="I100"/>
    </row>
    <row r="101" spans="8:9" ht="12">
      <c r="H101"/>
      <c r="I101"/>
    </row>
    <row r="102" spans="8:9" ht="12">
      <c r="H102"/>
      <c r="I102"/>
    </row>
    <row r="103" spans="8:9" ht="12">
      <c r="H103"/>
      <c r="I103"/>
    </row>
    <row r="104" spans="8:9" ht="12">
      <c r="H104"/>
      <c r="I104"/>
    </row>
    <row r="105" spans="8:9" ht="12">
      <c r="H105"/>
      <c r="I105"/>
    </row>
    <row r="106" spans="8:9" ht="12">
      <c r="H106"/>
      <c r="I106"/>
    </row>
    <row r="107" spans="8:9" ht="12">
      <c r="H107"/>
      <c r="I107"/>
    </row>
    <row r="108" spans="8:9" ht="12">
      <c r="H108"/>
      <c r="I108"/>
    </row>
    <row r="109" spans="8:9" ht="12">
      <c r="H109"/>
      <c r="I109"/>
    </row>
    <row r="110" spans="8:9" ht="12">
      <c r="H110"/>
      <c r="I110"/>
    </row>
    <row r="111" spans="8:9" ht="12">
      <c r="H111"/>
      <c r="I111"/>
    </row>
    <row r="112" spans="8:9" ht="12">
      <c r="H112"/>
      <c r="I112"/>
    </row>
    <row r="113" spans="8:9" ht="12">
      <c r="H113"/>
      <c r="I113"/>
    </row>
    <row r="114" spans="8:9" ht="12">
      <c r="H114"/>
      <c r="I114"/>
    </row>
    <row r="115" spans="8:9" ht="12">
      <c r="H115"/>
      <c r="I115"/>
    </row>
    <row r="116" spans="8:9" ht="12">
      <c r="H116"/>
      <c r="I116"/>
    </row>
    <row r="117" spans="8:9" ht="12">
      <c r="H117"/>
      <c r="I117"/>
    </row>
    <row r="118" spans="8:9" ht="12">
      <c r="H118"/>
      <c r="I118"/>
    </row>
    <row r="119" spans="8:9" ht="12">
      <c r="H119"/>
      <c r="I119"/>
    </row>
    <row r="120" spans="8:9" ht="12">
      <c r="H120"/>
      <c r="I120"/>
    </row>
    <row r="121" spans="8:9" ht="12">
      <c r="H121"/>
      <c r="I121"/>
    </row>
    <row r="122" spans="8:9" ht="12">
      <c r="H122"/>
      <c r="I122"/>
    </row>
    <row r="123" spans="8:9" ht="12">
      <c r="H123"/>
      <c r="I123"/>
    </row>
    <row r="124" spans="8:9" ht="12">
      <c r="H124"/>
      <c r="I124"/>
    </row>
    <row r="125" spans="8:9" ht="12">
      <c r="H125"/>
      <c r="I125"/>
    </row>
    <row r="126" spans="8:9" ht="12">
      <c r="H126"/>
      <c r="I126"/>
    </row>
    <row r="127" spans="8:9" ht="12">
      <c r="H127"/>
      <c r="I127"/>
    </row>
    <row r="128" spans="8:9" ht="12">
      <c r="H128"/>
      <c r="I128"/>
    </row>
    <row r="129" spans="8:9" ht="12">
      <c r="H129"/>
      <c r="I129"/>
    </row>
    <row r="130" spans="8:9" ht="12">
      <c r="H130"/>
      <c r="I130"/>
    </row>
    <row r="131" spans="8:9" ht="12">
      <c r="H131"/>
      <c r="I131"/>
    </row>
    <row r="132" spans="8:9" ht="12">
      <c r="H132"/>
      <c r="I132"/>
    </row>
    <row r="133" spans="8:9" ht="12">
      <c r="H133"/>
      <c r="I133"/>
    </row>
    <row r="134" spans="8:9" ht="12">
      <c r="H134"/>
      <c r="I134"/>
    </row>
    <row r="135" spans="8:9" ht="12">
      <c r="H135"/>
      <c r="I135"/>
    </row>
    <row r="136" spans="8:9" ht="12">
      <c r="H136"/>
      <c r="I136"/>
    </row>
    <row r="137" spans="8:9" ht="12">
      <c r="H137"/>
      <c r="I137"/>
    </row>
    <row r="138" spans="8:9" ht="12">
      <c r="H138"/>
      <c r="I138"/>
    </row>
    <row r="139" spans="8:9" ht="12">
      <c r="H139"/>
      <c r="I139"/>
    </row>
    <row r="140" spans="8:9" ht="12">
      <c r="H140"/>
      <c r="I140"/>
    </row>
    <row r="141" spans="8:9" ht="12">
      <c r="H141"/>
      <c r="I141"/>
    </row>
    <row r="142" spans="8:9" ht="12">
      <c r="H142"/>
      <c r="I142"/>
    </row>
    <row r="143" spans="8:9" ht="12">
      <c r="H143"/>
      <c r="I143"/>
    </row>
    <row r="144" spans="8:9" ht="12">
      <c r="H144"/>
      <c r="I144"/>
    </row>
    <row r="145" spans="8:9" ht="12">
      <c r="H145"/>
      <c r="I145"/>
    </row>
    <row r="146" spans="8:9" ht="12">
      <c r="H146"/>
      <c r="I146"/>
    </row>
    <row r="147" spans="8:9" ht="12">
      <c r="H147"/>
      <c r="I147"/>
    </row>
    <row r="148" spans="8:9" ht="12">
      <c r="H148"/>
      <c r="I148"/>
    </row>
    <row r="149" spans="8:9" ht="12">
      <c r="H149"/>
      <c r="I149"/>
    </row>
    <row r="150" spans="8:9" ht="12">
      <c r="H150"/>
      <c r="I150"/>
    </row>
    <row r="151" spans="8:9" ht="12">
      <c r="H151"/>
      <c r="I151"/>
    </row>
    <row r="152" spans="8:9" ht="12">
      <c r="H152"/>
      <c r="I152"/>
    </row>
    <row r="153" spans="8:9" ht="12">
      <c r="H153"/>
      <c r="I153"/>
    </row>
    <row r="154" spans="8:9" ht="12">
      <c r="H154"/>
      <c r="I154"/>
    </row>
    <row r="155" spans="8:9" ht="12">
      <c r="H155"/>
      <c r="I155"/>
    </row>
    <row r="156" spans="8:9" ht="12">
      <c r="H156"/>
      <c r="I156"/>
    </row>
    <row r="157" spans="8:9" ht="12">
      <c r="H157"/>
      <c r="I157"/>
    </row>
    <row r="158" spans="8:9" ht="12">
      <c r="H158"/>
      <c r="I158"/>
    </row>
    <row r="159" spans="8:9" ht="12">
      <c r="H159"/>
      <c r="I159"/>
    </row>
    <row r="160" spans="8:9" ht="12">
      <c r="H160"/>
      <c r="I160"/>
    </row>
    <row r="161" spans="8:9" ht="12">
      <c r="H161"/>
      <c r="I161"/>
    </row>
    <row r="162" spans="8:9" ht="12">
      <c r="H162"/>
      <c r="I162"/>
    </row>
    <row r="163" spans="8:9" ht="12">
      <c r="H163"/>
      <c r="I163"/>
    </row>
    <row r="164" spans="8:9" ht="12">
      <c r="H164"/>
      <c r="I164"/>
    </row>
    <row r="165" spans="8:9" ht="12">
      <c r="H165"/>
      <c r="I165"/>
    </row>
    <row r="166" spans="8:9" ht="12">
      <c r="H166"/>
      <c r="I166"/>
    </row>
    <row r="167" spans="8:9" ht="12">
      <c r="H167"/>
      <c r="I167"/>
    </row>
    <row r="168" spans="8:9" ht="12">
      <c r="H168"/>
      <c r="I168"/>
    </row>
    <row r="169" spans="8:9" ht="12">
      <c r="H169"/>
      <c r="I169"/>
    </row>
    <row r="170" spans="8:9" ht="12">
      <c r="H170"/>
      <c r="I170"/>
    </row>
    <row r="171" spans="8:9" ht="12">
      <c r="H171"/>
      <c r="I171"/>
    </row>
    <row r="172" spans="8:9" ht="12">
      <c r="H172"/>
      <c r="I172"/>
    </row>
  </sheetData>
  <mergeCells count="14">
    <mergeCell ref="N4:N11"/>
    <mergeCell ref="N37:N43"/>
    <mergeCell ref="N25:N30"/>
    <mergeCell ref="N31:N36"/>
    <mergeCell ref="N19:N24"/>
    <mergeCell ref="N12:N18"/>
    <mergeCell ref="Y3:Z3"/>
    <mergeCell ref="W20:X20"/>
    <mergeCell ref="Y20:Z20"/>
    <mergeCell ref="O7:O8"/>
    <mergeCell ref="O9:O10"/>
    <mergeCell ref="V3:V4"/>
    <mergeCell ref="V20:V21"/>
    <mergeCell ref="W3:X3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V104"/>
  <sheetViews>
    <sheetView showGridLines="0" zoomScale="85" zoomScaleNormal="85" workbookViewId="0">
      <selection activeCell="K15" sqref="K15"/>
    </sheetView>
  </sheetViews>
  <sheetFormatPr defaultRowHeight="12.75"/>
  <cols>
    <col min="1" max="1" width="3.140625" style="63" customWidth="1"/>
    <col min="2" max="2" width="13.85546875" style="63" customWidth="1"/>
    <col min="3" max="15" width="9.140625" style="63"/>
    <col min="16" max="16" width="10.85546875" style="63" customWidth="1"/>
    <col min="17" max="17" width="10.140625" style="63" customWidth="1"/>
    <col min="18" max="21" width="9.140625" style="63"/>
    <col min="22" max="34" width="0" style="63" hidden="1" customWidth="1"/>
    <col min="35" max="36" width="9.42578125" style="63" hidden="1" customWidth="1"/>
    <col min="37" max="44" width="0" style="63" hidden="1" customWidth="1"/>
    <col min="45" max="71" width="9.140625" style="63"/>
    <col min="72" max="73" width="11.5703125" style="63" bestFit="1" customWidth="1"/>
    <col min="74" max="16384" width="9.140625" style="63"/>
  </cols>
  <sheetData>
    <row r="1" spans="2:29">
      <c r="C1" s="63" t="str">
        <f>IF(AU12="D",INDEX(정비!C$16:C$22,렌터카견적내기!$BC$4),"-")</f>
        <v>-</v>
      </c>
      <c r="F1" s="63" t="str">
        <f>IF(AU12="D",INDEX(정비!C$16:C$22,렌터카견적내기!$BC$4),"-")</f>
        <v>-</v>
      </c>
      <c r="V1" s="63" t="s">
        <v>142</v>
      </c>
      <c r="W1" s="63" t="s">
        <v>200</v>
      </c>
      <c r="X1" s="63" t="s">
        <v>625</v>
      </c>
      <c r="Y1" s="63" t="s">
        <v>626</v>
      </c>
    </row>
    <row r="2" spans="2:29" ht="13.5" thickBot="1">
      <c r="B2" s="43" t="s">
        <v>627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P2" s="43" t="s">
        <v>628</v>
      </c>
      <c r="Q2" s="63" t="str">
        <f t="shared" ref="Q2:Y2" si="0">LEFT(ADDRESS(1,COLUMN(),2),FIND("$",ADDRESS(1,COLUMN(),2))-1)</f>
        <v>Q</v>
      </c>
      <c r="R2" s="63" t="str">
        <f t="shared" si="0"/>
        <v>R</v>
      </c>
      <c r="S2" s="63" t="str">
        <f t="shared" si="0"/>
        <v>S</v>
      </c>
      <c r="T2" s="63" t="str">
        <f t="shared" si="0"/>
        <v>T</v>
      </c>
      <c r="U2" s="63" t="str">
        <f t="shared" si="0"/>
        <v>U</v>
      </c>
      <c r="V2" s="63" t="str">
        <f t="shared" si="0"/>
        <v>V</v>
      </c>
      <c r="W2" s="63" t="str">
        <f t="shared" si="0"/>
        <v>W</v>
      </c>
      <c r="X2" s="63" t="str">
        <f t="shared" si="0"/>
        <v>X</v>
      </c>
      <c r="Y2" s="63" t="str">
        <f t="shared" si="0"/>
        <v>Y</v>
      </c>
      <c r="Z2" s="63" t="str">
        <f>INDEX($Q$2:$Y$2,1,VLOOKUP(렌터카견적내기!BB4,정비!$E$39:$F$47,2,0))</f>
        <v>U</v>
      </c>
      <c r="AA2" s="63" t="str">
        <f>INDEX($Q$2:$Y$2,1,VLOOKUP(렌터카견적내기!BB29,정비!$E$39:$F$47,2,0))</f>
        <v>W</v>
      </c>
      <c r="AB2" s="63" t="e">
        <f>INDEX($Q$2:$Y$2,1,VLOOKUP(#REF!,정비!$E$39:$F$47,2,0))</f>
        <v>#REF!</v>
      </c>
      <c r="AC2" s="63" t="e">
        <f>INDEX($Q$2:$Y$2,1,VLOOKUP(#REF!,정비!$E$39:$F$47,2,0))</f>
        <v>#REF!</v>
      </c>
    </row>
    <row r="3" spans="2:29">
      <c r="B3" s="1884" t="s">
        <v>140</v>
      </c>
      <c r="C3" s="303" t="s">
        <v>629</v>
      </c>
      <c r="D3" s="304"/>
      <c r="E3" s="304"/>
      <c r="F3" s="304"/>
      <c r="G3" s="304"/>
      <c r="H3" s="305"/>
      <c r="I3" s="305" t="s">
        <v>630</v>
      </c>
      <c r="J3" s="304"/>
      <c r="K3" s="304"/>
      <c r="L3" s="304"/>
      <c r="M3" s="304"/>
      <c r="N3" s="306"/>
      <c r="P3" s="1884" t="s">
        <v>140</v>
      </c>
      <c r="Q3" s="307"/>
      <c r="R3" s="307"/>
      <c r="S3" s="307"/>
      <c r="T3" s="308"/>
      <c r="U3" s="307"/>
      <c r="V3" s="307"/>
      <c r="W3" s="307"/>
      <c r="X3" s="309"/>
      <c r="Y3" s="310"/>
      <c r="Z3" s="311">
        <f ca="1">INDIRECT(Z2&amp;ROW()+V13+1)</f>
        <v>3000</v>
      </c>
      <c r="AA3" s="311">
        <f ca="1">INDIRECT(AA2&amp;ROW()+W13+1)</f>
        <v>3812.5</v>
      </c>
      <c r="AB3" s="311" t="e">
        <f ca="1">INDIRECT(AB2&amp;ROW()+X13+1)</f>
        <v>#REF!</v>
      </c>
      <c r="AC3" s="311" t="e">
        <f ca="1">INDIRECT(AC2&amp;ROW()+Y13+1)</f>
        <v>#REF!</v>
      </c>
    </row>
    <row r="4" spans="2:29">
      <c r="B4" s="1885"/>
      <c r="C4" s="312" t="s">
        <v>631</v>
      </c>
      <c r="D4" s="313" t="s">
        <v>632</v>
      </c>
      <c r="E4" s="313" t="s">
        <v>633</v>
      </c>
      <c r="F4" s="313" t="s">
        <v>634</v>
      </c>
      <c r="G4" s="313" t="s">
        <v>635</v>
      </c>
      <c r="H4" s="314" t="s">
        <v>636</v>
      </c>
      <c r="I4" s="314" t="s">
        <v>631</v>
      </c>
      <c r="J4" s="313" t="s">
        <v>632</v>
      </c>
      <c r="K4" s="313" t="s">
        <v>633</v>
      </c>
      <c r="L4" s="313" t="s">
        <v>634</v>
      </c>
      <c r="M4" s="313" t="s">
        <v>635</v>
      </c>
      <c r="N4" s="315" t="s">
        <v>636</v>
      </c>
      <c r="P4" s="1885"/>
      <c r="Q4" s="313">
        <v>12</v>
      </c>
      <c r="R4" s="313">
        <v>18</v>
      </c>
      <c r="S4" s="313">
        <v>24</v>
      </c>
      <c r="T4" s="314">
        <v>30</v>
      </c>
      <c r="U4" s="313">
        <v>36</v>
      </c>
      <c r="V4" s="313">
        <v>42</v>
      </c>
      <c r="W4" s="313">
        <v>48</v>
      </c>
      <c r="X4" s="316">
        <v>54</v>
      </c>
      <c r="Y4" s="315">
        <v>60</v>
      </c>
    </row>
    <row r="5" spans="2:29">
      <c r="B5" s="317" t="s">
        <v>637</v>
      </c>
      <c r="C5" s="318">
        <v>48800</v>
      </c>
      <c r="D5" s="319">
        <v>43250</v>
      </c>
      <c r="E5" s="319">
        <v>40100</v>
      </c>
      <c r="F5" s="319">
        <v>36750</v>
      </c>
      <c r="G5" s="319">
        <v>12000</v>
      </c>
      <c r="H5" s="320">
        <v>4667</v>
      </c>
      <c r="I5" s="320">
        <v>49600</v>
      </c>
      <c r="J5" s="319">
        <v>44063</v>
      </c>
      <c r="K5" s="319">
        <v>40900</v>
      </c>
      <c r="L5" s="319">
        <v>37563</v>
      </c>
      <c r="M5" s="319">
        <v>12813</v>
      </c>
      <c r="N5" s="321">
        <v>5479</v>
      </c>
      <c r="P5" s="317" t="s">
        <v>637</v>
      </c>
      <c r="Q5" s="319">
        <v>0</v>
      </c>
      <c r="R5" s="319">
        <v>0</v>
      </c>
      <c r="S5" s="319">
        <v>1375</v>
      </c>
      <c r="T5" s="320">
        <v>1100</v>
      </c>
      <c r="U5" s="319">
        <v>3000</v>
      </c>
      <c r="V5" s="319">
        <v>2571.4285714285716</v>
      </c>
      <c r="W5" s="319">
        <v>3812.5</v>
      </c>
      <c r="X5" s="322">
        <v>3388.8888888888887</v>
      </c>
      <c r="Y5" s="321">
        <v>4770</v>
      </c>
      <c r="Z5" s="63">
        <f ca="1">IF($B30=렌터카견적내기!$AW$15,1,0)</f>
        <v>0</v>
      </c>
      <c r="AA5" s="63">
        <f ca="1">IF($B30=렌터카견적내기!$AW$15,1,0)</f>
        <v>0</v>
      </c>
      <c r="AB5" s="63" t="e">
        <f>IF($B30=#REF!,1,0)</f>
        <v>#REF!</v>
      </c>
      <c r="AC5" s="63" t="e">
        <f>IF($B30=#REF!,1,0)</f>
        <v>#REF!</v>
      </c>
    </row>
    <row r="6" spans="2:29">
      <c r="B6" s="317" t="s">
        <v>638</v>
      </c>
      <c r="C6" s="318">
        <v>57800</v>
      </c>
      <c r="D6" s="319">
        <v>52250</v>
      </c>
      <c r="E6" s="319">
        <v>44100</v>
      </c>
      <c r="F6" s="319">
        <v>45750</v>
      </c>
      <c r="G6" s="319">
        <v>12000</v>
      </c>
      <c r="H6" s="320">
        <v>4667</v>
      </c>
      <c r="I6" s="320">
        <v>58600</v>
      </c>
      <c r="J6" s="319">
        <v>53063</v>
      </c>
      <c r="K6" s="319">
        <v>44900</v>
      </c>
      <c r="L6" s="319">
        <v>46563</v>
      </c>
      <c r="M6" s="319">
        <v>12813</v>
      </c>
      <c r="N6" s="321">
        <v>5479</v>
      </c>
      <c r="P6" s="317" t="s">
        <v>638</v>
      </c>
      <c r="Q6" s="319">
        <v>0</v>
      </c>
      <c r="R6" s="319">
        <v>0</v>
      </c>
      <c r="S6" s="319">
        <v>1375</v>
      </c>
      <c r="T6" s="320">
        <v>1100</v>
      </c>
      <c r="U6" s="319">
        <v>3000</v>
      </c>
      <c r="V6" s="319">
        <v>2571.4285714285716</v>
      </c>
      <c r="W6" s="319">
        <v>3812.5</v>
      </c>
      <c r="X6" s="322">
        <v>3388.8888888888887</v>
      </c>
      <c r="Y6" s="321">
        <v>4770</v>
      </c>
      <c r="Z6" s="63">
        <f ca="1">IF($B31=렌터카견적내기!$AW$15,2,0)</f>
        <v>2</v>
      </c>
      <c r="AA6" s="63">
        <f ca="1">IF($B31=렌터카견적내기!$AW$15,2,0)</f>
        <v>2</v>
      </c>
      <c r="AB6" s="63" t="e">
        <f>IF($B31=#REF!,2,0)</f>
        <v>#REF!</v>
      </c>
      <c r="AC6" s="63" t="e">
        <f>IF($B31=#REF!,2,0)</f>
        <v>#REF!</v>
      </c>
    </row>
    <row r="7" spans="2:29">
      <c r="B7" s="317" t="s">
        <v>639</v>
      </c>
      <c r="C7" s="318">
        <v>66800</v>
      </c>
      <c r="D7" s="319">
        <v>61250</v>
      </c>
      <c r="E7" s="319">
        <v>46300</v>
      </c>
      <c r="F7" s="319">
        <v>54750</v>
      </c>
      <c r="G7" s="319">
        <v>12500</v>
      </c>
      <c r="H7" s="320">
        <v>4667</v>
      </c>
      <c r="I7" s="320">
        <v>67600</v>
      </c>
      <c r="J7" s="319">
        <v>62063</v>
      </c>
      <c r="K7" s="319">
        <v>47200</v>
      </c>
      <c r="L7" s="319">
        <v>55563</v>
      </c>
      <c r="M7" s="319">
        <v>13313</v>
      </c>
      <c r="N7" s="321">
        <v>5479</v>
      </c>
      <c r="P7" s="317" t="s">
        <v>639</v>
      </c>
      <c r="Q7" s="319">
        <v>0</v>
      </c>
      <c r="R7" s="319">
        <v>0</v>
      </c>
      <c r="S7" s="319">
        <v>1375</v>
      </c>
      <c r="T7" s="320">
        <v>1100</v>
      </c>
      <c r="U7" s="319">
        <v>3000</v>
      </c>
      <c r="V7" s="319">
        <v>2571.4285714285716</v>
      </c>
      <c r="W7" s="319">
        <v>3812.5</v>
      </c>
      <c r="X7" s="322">
        <v>3388.8888888888887</v>
      </c>
      <c r="Y7" s="321">
        <v>4770</v>
      </c>
      <c r="Z7" s="63">
        <f ca="1">IF($B32=렌터카견적내기!$AW$15,3,0)</f>
        <v>0</v>
      </c>
      <c r="AA7" s="63">
        <f ca="1">IF($B32=렌터카견적내기!$AW$15,3,0)</f>
        <v>0</v>
      </c>
      <c r="AB7" s="63" t="e">
        <f>IF($B32=#REF!,3,0)</f>
        <v>#REF!</v>
      </c>
      <c r="AC7" s="63" t="e">
        <f>IF($B32=#REF!,3,0)</f>
        <v>#REF!</v>
      </c>
    </row>
    <row r="8" spans="2:29">
      <c r="B8" s="317" t="s">
        <v>640</v>
      </c>
      <c r="C8" s="318">
        <v>78800</v>
      </c>
      <c r="D8" s="319">
        <v>73250</v>
      </c>
      <c r="E8" s="319">
        <v>54100</v>
      </c>
      <c r="F8" s="319">
        <v>66750</v>
      </c>
      <c r="G8" s="319">
        <v>13000</v>
      </c>
      <c r="H8" s="320">
        <v>4667</v>
      </c>
      <c r="I8" s="320">
        <v>79600</v>
      </c>
      <c r="J8" s="319">
        <v>74063</v>
      </c>
      <c r="K8" s="319">
        <v>54900</v>
      </c>
      <c r="L8" s="319">
        <v>67563</v>
      </c>
      <c r="M8" s="319">
        <v>13813</v>
      </c>
      <c r="N8" s="321">
        <v>5479</v>
      </c>
      <c r="P8" s="317" t="s">
        <v>640</v>
      </c>
      <c r="Q8" s="319">
        <v>0</v>
      </c>
      <c r="R8" s="319">
        <v>0</v>
      </c>
      <c r="S8" s="319">
        <v>1375</v>
      </c>
      <c r="T8" s="320">
        <v>1100</v>
      </c>
      <c r="U8" s="319">
        <v>3000</v>
      </c>
      <c r="V8" s="319">
        <v>2571.4285714285716</v>
      </c>
      <c r="W8" s="319">
        <v>3812.5</v>
      </c>
      <c r="X8" s="322">
        <v>3388.8888888888887</v>
      </c>
      <c r="Y8" s="321">
        <v>4770</v>
      </c>
      <c r="Z8" s="63">
        <f ca="1">IF($B33=렌터카견적내기!$AW$15,4,0)</f>
        <v>0</v>
      </c>
      <c r="AA8" s="63">
        <f ca="1">IF($B33=렌터카견적내기!$AW$15,4,0)</f>
        <v>0</v>
      </c>
      <c r="AB8" s="63" t="e">
        <f>IF($B33=#REF!,4,0)</f>
        <v>#REF!</v>
      </c>
      <c r="AC8" s="63" t="e">
        <f>IF($B33=#REF!,4,0)</f>
        <v>#REF!</v>
      </c>
    </row>
    <row r="9" spans="2:29">
      <c r="B9" s="317" t="s">
        <v>641</v>
      </c>
      <c r="C9" s="318">
        <v>89200</v>
      </c>
      <c r="D9" s="319">
        <v>83667</v>
      </c>
      <c r="E9" s="319">
        <v>58300</v>
      </c>
      <c r="F9" s="319">
        <v>77167</v>
      </c>
      <c r="G9" s="319">
        <v>16029</v>
      </c>
      <c r="H9" s="320">
        <v>5083</v>
      </c>
      <c r="I9" s="320">
        <v>90200</v>
      </c>
      <c r="J9" s="319">
        <v>84688</v>
      </c>
      <c r="K9" s="319">
        <v>59300</v>
      </c>
      <c r="L9" s="319">
        <v>78188</v>
      </c>
      <c r="M9" s="319">
        <v>17050</v>
      </c>
      <c r="N9" s="321">
        <v>6104</v>
      </c>
      <c r="P9" s="317" t="s">
        <v>641</v>
      </c>
      <c r="Q9" s="319">
        <v>0</v>
      </c>
      <c r="R9" s="319">
        <v>0</v>
      </c>
      <c r="S9" s="319">
        <v>1375</v>
      </c>
      <c r="T9" s="320">
        <v>1100</v>
      </c>
      <c r="U9" s="319">
        <v>3416.6666666666665</v>
      </c>
      <c r="V9" s="319">
        <v>2928.5714285714284</v>
      </c>
      <c r="W9" s="319">
        <v>4437.5</v>
      </c>
      <c r="X9" s="322">
        <v>3944.4444444444443</v>
      </c>
      <c r="Y9" s="321">
        <v>5610</v>
      </c>
      <c r="Z9" s="63">
        <f ca="1">IF($B34=렌터카견적내기!$AW$15,5,0)</f>
        <v>0</v>
      </c>
      <c r="AA9" s="63">
        <f ca="1">IF($B34=렌터카견적내기!$AW$15,5,0)</f>
        <v>0</v>
      </c>
      <c r="AB9" s="63" t="e">
        <f>IF($B34=#REF!,5,0)</f>
        <v>#REF!</v>
      </c>
      <c r="AC9" s="63" t="e">
        <f>IF($B34=#REF!,5,0)</f>
        <v>#REF!</v>
      </c>
    </row>
    <row r="10" spans="2:29">
      <c r="B10" s="317" t="s">
        <v>642</v>
      </c>
      <c r="C10" s="318">
        <v>98200</v>
      </c>
      <c r="D10" s="319">
        <v>92667</v>
      </c>
      <c r="E10" s="319">
        <v>60100</v>
      </c>
      <c r="F10" s="319">
        <v>86167</v>
      </c>
      <c r="G10" s="319">
        <v>16029</v>
      </c>
      <c r="H10" s="320">
        <v>5083</v>
      </c>
      <c r="I10" s="320">
        <v>99200</v>
      </c>
      <c r="J10" s="319">
        <v>93688</v>
      </c>
      <c r="K10" s="319">
        <v>61100</v>
      </c>
      <c r="L10" s="319">
        <v>87188</v>
      </c>
      <c r="M10" s="319">
        <v>17050</v>
      </c>
      <c r="N10" s="321">
        <v>6104</v>
      </c>
      <c r="P10" s="317" t="s">
        <v>642</v>
      </c>
      <c r="Q10" s="319">
        <v>0</v>
      </c>
      <c r="R10" s="319">
        <v>0</v>
      </c>
      <c r="S10" s="319">
        <v>1375</v>
      </c>
      <c r="T10" s="320">
        <v>1100</v>
      </c>
      <c r="U10" s="319">
        <v>3416.6666666666665</v>
      </c>
      <c r="V10" s="319">
        <v>2928.5714285714284</v>
      </c>
      <c r="W10" s="319">
        <v>4437.5</v>
      </c>
      <c r="X10" s="322">
        <v>3944.4444444444443</v>
      </c>
      <c r="Y10" s="321">
        <v>5610</v>
      </c>
      <c r="Z10" s="63">
        <f ca="1">IF($B35=렌터카견적내기!$AW$15,6,0)</f>
        <v>0</v>
      </c>
      <c r="AA10" s="63">
        <f ca="1">IF($B35=렌터카견적내기!$AW$15,6,0)</f>
        <v>0</v>
      </c>
      <c r="AB10" s="63" t="e">
        <f>IF($B35=#REF!,6,0)</f>
        <v>#REF!</v>
      </c>
      <c r="AC10" s="63" t="e">
        <f>IF($B35=#REF!,6,0)</f>
        <v>#REF!</v>
      </c>
    </row>
    <row r="11" spans="2:29">
      <c r="B11" s="317" t="s">
        <v>643</v>
      </c>
      <c r="C11" s="318">
        <v>79200</v>
      </c>
      <c r="D11" s="319">
        <v>73667</v>
      </c>
      <c r="E11" s="319">
        <v>59400</v>
      </c>
      <c r="F11" s="319">
        <v>67167</v>
      </c>
      <c r="G11" s="319">
        <v>16583</v>
      </c>
      <c r="H11" s="320">
        <v>5083</v>
      </c>
      <c r="I11" s="320">
        <v>80200</v>
      </c>
      <c r="J11" s="319">
        <v>74688</v>
      </c>
      <c r="K11" s="319">
        <v>60400</v>
      </c>
      <c r="L11" s="319">
        <v>68188</v>
      </c>
      <c r="M11" s="319">
        <v>17604</v>
      </c>
      <c r="N11" s="321">
        <v>6104</v>
      </c>
      <c r="P11" s="317" t="s">
        <v>643</v>
      </c>
      <c r="Q11" s="319">
        <v>0</v>
      </c>
      <c r="R11" s="319">
        <v>0</v>
      </c>
      <c r="S11" s="319">
        <v>1375</v>
      </c>
      <c r="T11" s="320">
        <v>1100</v>
      </c>
      <c r="U11" s="319">
        <v>3416.6666666666665</v>
      </c>
      <c r="V11" s="319">
        <v>2928.5714285714284</v>
      </c>
      <c r="W11" s="319">
        <v>4437.5</v>
      </c>
      <c r="X11" s="322">
        <v>3944.4444444444443</v>
      </c>
      <c r="Y11" s="321">
        <v>5610</v>
      </c>
      <c r="Z11" s="63">
        <f ca="1">IF($B36=렌터카견적내기!$AW$15,7,0)</f>
        <v>0</v>
      </c>
      <c r="AA11" s="63">
        <f ca="1">IF($B36=렌터카견적내기!$AW$15,7,0)</f>
        <v>0</v>
      </c>
      <c r="AB11" s="63" t="e">
        <f>IF($B36=#REF!,7,0)</f>
        <v>#REF!</v>
      </c>
      <c r="AC11" s="63" t="e">
        <f>IF($B36=#REF!,7,0)</f>
        <v>#REF!</v>
      </c>
    </row>
    <row r="12" spans="2:29" ht="13.5" thickBot="1">
      <c r="B12" s="323" t="s">
        <v>644</v>
      </c>
      <c r="C12" s="324">
        <v>73800</v>
      </c>
      <c r="D12" s="325">
        <v>68250</v>
      </c>
      <c r="E12" s="325">
        <v>53000</v>
      </c>
      <c r="F12" s="325">
        <v>61750</v>
      </c>
      <c r="G12" s="325">
        <v>16167</v>
      </c>
      <c r="H12" s="326">
        <v>4667</v>
      </c>
      <c r="I12" s="326">
        <v>74600</v>
      </c>
      <c r="J12" s="325">
        <v>69063</v>
      </c>
      <c r="K12" s="325">
        <v>53800</v>
      </c>
      <c r="L12" s="325">
        <v>62563</v>
      </c>
      <c r="M12" s="325">
        <v>16979</v>
      </c>
      <c r="N12" s="327">
        <v>5479</v>
      </c>
      <c r="P12" s="323" t="s">
        <v>644</v>
      </c>
      <c r="Q12" s="325">
        <v>0</v>
      </c>
      <c r="R12" s="325">
        <v>0</v>
      </c>
      <c r="S12" s="325">
        <v>1375</v>
      </c>
      <c r="T12" s="326">
        <v>1100</v>
      </c>
      <c r="U12" s="325">
        <v>3000</v>
      </c>
      <c r="V12" s="325">
        <v>2929</v>
      </c>
      <c r="W12" s="325">
        <v>3812.5</v>
      </c>
      <c r="X12" s="328">
        <v>3388.8888888888887</v>
      </c>
      <c r="Y12" s="327">
        <v>4770</v>
      </c>
      <c r="Z12" s="63">
        <f ca="1">IF($B37=렌터카견적내기!$AW$15,8,0)</f>
        <v>0</v>
      </c>
      <c r="AA12" s="63">
        <f ca="1">IF($B37=렌터카견적내기!$AW$15,8,0)</f>
        <v>0</v>
      </c>
      <c r="AB12" s="63" t="e">
        <f>IF($B37=#REF!,8,0)</f>
        <v>#REF!</v>
      </c>
      <c r="AC12" s="63" t="e">
        <f>IF($B37=#REF!,8,0)</f>
        <v>#REF!</v>
      </c>
    </row>
    <row r="13" spans="2:29" ht="4.5" customHeight="1">
      <c r="V13" s="63">
        <f ca="1">SUM(Z5:Z12)</f>
        <v>2</v>
      </c>
      <c r="W13" s="63">
        <f ca="1">SUM(AA5:AA12)</f>
        <v>2</v>
      </c>
      <c r="X13" s="63" t="e">
        <f>SUM(AB5:AB12)</f>
        <v>#REF!</v>
      </c>
      <c r="Y13" s="63" t="e">
        <f>SUM(AC5:AC12)</f>
        <v>#REF!</v>
      </c>
    </row>
    <row r="14" spans="2:29" ht="10.5" customHeight="1" thickBot="1">
      <c r="B14" s="63" t="s">
        <v>645</v>
      </c>
    </row>
    <row r="15" spans="2:29">
      <c r="B15" s="329" t="s">
        <v>239</v>
      </c>
      <c r="C15" s="330" t="s">
        <v>308</v>
      </c>
      <c r="D15" s="330" t="s">
        <v>646</v>
      </c>
      <c r="E15" s="330" t="s">
        <v>647</v>
      </c>
      <c r="F15" s="330" t="s">
        <v>648</v>
      </c>
      <c r="G15" s="330" t="s">
        <v>285</v>
      </c>
      <c r="H15" s="330" t="s">
        <v>312</v>
      </c>
      <c r="I15" s="330" t="s">
        <v>313</v>
      </c>
      <c r="J15" s="330" t="s">
        <v>649</v>
      </c>
      <c r="K15" s="331" t="s">
        <v>650</v>
      </c>
    </row>
    <row r="16" spans="2:29">
      <c r="B16" s="332" t="s">
        <v>631</v>
      </c>
      <c r="C16" s="333" t="s">
        <v>651</v>
      </c>
      <c r="D16" s="334" t="s">
        <v>652</v>
      </c>
      <c r="E16" s="335" t="s">
        <v>653</v>
      </c>
      <c r="F16" s="335" t="s">
        <v>653</v>
      </c>
      <c r="G16" s="335" t="s">
        <v>653</v>
      </c>
      <c r="H16" s="335" t="s">
        <v>653</v>
      </c>
      <c r="I16" s="335" t="s">
        <v>653</v>
      </c>
      <c r="J16" s="335" t="s">
        <v>653</v>
      </c>
      <c r="K16" s="336" t="s">
        <v>653</v>
      </c>
    </row>
    <row r="17" spans="2:74">
      <c r="B17" s="332" t="s">
        <v>654</v>
      </c>
      <c r="C17" s="333" t="s">
        <v>655</v>
      </c>
      <c r="D17" s="334" t="s">
        <v>652</v>
      </c>
      <c r="E17" s="335" t="s">
        <v>653</v>
      </c>
      <c r="F17" s="335" t="s">
        <v>653</v>
      </c>
      <c r="G17" s="335" t="s">
        <v>653</v>
      </c>
      <c r="H17" s="335" t="s">
        <v>653</v>
      </c>
      <c r="I17" s="335" t="s">
        <v>653</v>
      </c>
      <c r="J17" s="335" t="s">
        <v>653</v>
      </c>
      <c r="K17" s="336" t="s">
        <v>653</v>
      </c>
    </row>
    <row r="18" spans="2:74">
      <c r="B18" s="332" t="s">
        <v>633</v>
      </c>
      <c r="C18" s="333" t="s">
        <v>651</v>
      </c>
      <c r="D18" s="334" t="s">
        <v>656</v>
      </c>
      <c r="E18" s="335" t="s">
        <v>653</v>
      </c>
      <c r="F18" s="335" t="s">
        <v>653</v>
      </c>
      <c r="G18" s="335" t="s">
        <v>653</v>
      </c>
      <c r="H18" s="335" t="s">
        <v>653</v>
      </c>
      <c r="I18" s="335" t="s">
        <v>653</v>
      </c>
      <c r="J18" s="335" t="s">
        <v>653</v>
      </c>
      <c r="K18" s="336" t="s">
        <v>653</v>
      </c>
    </row>
    <row r="19" spans="2:74" ht="16.5">
      <c r="B19" s="332" t="s">
        <v>657</v>
      </c>
      <c r="C19" s="333" t="s">
        <v>658</v>
      </c>
      <c r="D19" s="334" t="s">
        <v>652</v>
      </c>
      <c r="E19" s="335" t="s">
        <v>653</v>
      </c>
      <c r="F19" s="335" t="s">
        <v>653</v>
      </c>
      <c r="G19" s="335" t="s">
        <v>653</v>
      </c>
      <c r="H19" s="335" t="s">
        <v>653</v>
      </c>
      <c r="I19" s="335" t="s">
        <v>653</v>
      </c>
      <c r="J19" s="335" t="s">
        <v>653</v>
      </c>
      <c r="K19" s="336" t="s">
        <v>653</v>
      </c>
      <c r="M19" s="337">
        <f ca="1">IF(AZ13="D",정비!BR27,정비!AA3)</f>
        <v>3812.5</v>
      </c>
    </row>
    <row r="20" spans="2:74">
      <c r="B20" s="332" t="s">
        <v>659</v>
      </c>
      <c r="C20" s="333" t="s">
        <v>658</v>
      </c>
      <c r="D20" s="334" t="s">
        <v>660</v>
      </c>
      <c r="E20" s="335" t="s">
        <v>653</v>
      </c>
      <c r="F20" s="335" t="s">
        <v>653</v>
      </c>
      <c r="G20" s="335" t="s">
        <v>653</v>
      </c>
      <c r="H20" s="335" t="s">
        <v>653</v>
      </c>
      <c r="I20" s="335" t="s">
        <v>661</v>
      </c>
      <c r="J20" s="335" t="s">
        <v>661</v>
      </c>
      <c r="K20" s="336" t="s">
        <v>661</v>
      </c>
    </row>
    <row r="21" spans="2:74" ht="13.5" thickBot="1">
      <c r="B21" s="338" t="s">
        <v>662</v>
      </c>
      <c r="C21" s="339" t="s">
        <v>663</v>
      </c>
      <c r="D21" s="340" t="s">
        <v>661</v>
      </c>
      <c r="E21" s="341" t="s">
        <v>653</v>
      </c>
      <c r="F21" s="341" t="s">
        <v>653</v>
      </c>
      <c r="G21" s="341" t="s">
        <v>653</v>
      </c>
      <c r="H21" s="341" t="s">
        <v>653</v>
      </c>
      <c r="I21" s="341" t="s">
        <v>661</v>
      </c>
      <c r="J21" s="341" t="s">
        <v>661</v>
      </c>
      <c r="K21" s="342" t="s">
        <v>661</v>
      </c>
    </row>
    <row r="22" spans="2:74" ht="13.5" thickBot="1">
      <c r="B22" s="338" t="s">
        <v>664</v>
      </c>
      <c r="C22" s="339" t="s">
        <v>663</v>
      </c>
      <c r="D22" s="340" t="s">
        <v>665</v>
      </c>
      <c r="E22" s="341" t="s">
        <v>653</v>
      </c>
      <c r="F22" s="341" t="s">
        <v>653</v>
      </c>
      <c r="G22" s="341" t="s">
        <v>653</v>
      </c>
      <c r="H22" s="341" t="s">
        <v>661</v>
      </c>
      <c r="I22" s="341" t="s">
        <v>661</v>
      </c>
      <c r="J22" s="341" t="s">
        <v>653</v>
      </c>
      <c r="K22" s="342" t="s">
        <v>661</v>
      </c>
    </row>
    <row r="23" spans="2:74">
      <c r="B23" s="332" t="s">
        <v>666</v>
      </c>
      <c r="C23" s="333" t="s">
        <v>663</v>
      </c>
      <c r="D23" s="334" t="s">
        <v>661</v>
      </c>
      <c r="E23" s="335" t="s">
        <v>653</v>
      </c>
      <c r="F23" s="335" t="s">
        <v>653</v>
      </c>
      <c r="G23" s="335" t="s">
        <v>653</v>
      </c>
      <c r="H23" s="335" t="s">
        <v>661</v>
      </c>
      <c r="I23" s="335" t="s">
        <v>661</v>
      </c>
      <c r="J23" s="418" t="s">
        <v>661</v>
      </c>
      <c r="K23" s="336" t="s">
        <v>661</v>
      </c>
    </row>
    <row r="24" spans="2:74" ht="22.5" customHeight="1"/>
    <row r="25" spans="2:74">
      <c r="B25" s="63" t="s">
        <v>627</v>
      </c>
      <c r="BQ25" s="343" t="s">
        <v>667</v>
      </c>
      <c r="BR25" s="343" t="s">
        <v>668</v>
      </c>
      <c r="BS25" s="343" t="s">
        <v>669</v>
      </c>
      <c r="BT25" s="343" t="s">
        <v>670</v>
      </c>
      <c r="BU25" s="343" t="s">
        <v>671</v>
      </c>
      <c r="BV25" s="343" t="s">
        <v>672</v>
      </c>
    </row>
    <row r="26" spans="2:74" ht="13.5" thickBot="1">
      <c r="B26" s="63" t="s">
        <v>673</v>
      </c>
      <c r="C26" s="63" t="str">
        <f>LEFT(ADDRESS(1,COLUMN(),2),FIND("$",ADDRESS(1,COLUMN(),2))-1)</f>
        <v>C</v>
      </c>
      <c r="D26" s="63" t="str">
        <f t="shared" ref="D26:BP26" si="1">LEFT(ADDRESS(1,COLUMN(),2),FIND("$",ADDRESS(1,COLUMN(),2))-1)</f>
        <v>D</v>
      </c>
      <c r="E26" s="63" t="str">
        <f t="shared" si="1"/>
        <v>E</v>
      </c>
      <c r="F26" s="63" t="str">
        <f t="shared" si="1"/>
        <v>F</v>
      </c>
      <c r="G26" s="63" t="str">
        <f t="shared" si="1"/>
        <v>G</v>
      </c>
      <c r="H26" s="63" t="str">
        <f t="shared" si="1"/>
        <v>H</v>
      </c>
      <c r="I26" s="63" t="str">
        <f t="shared" si="1"/>
        <v>I</v>
      </c>
      <c r="J26" s="63" t="str">
        <f t="shared" si="1"/>
        <v>J</v>
      </c>
      <c r="K26" s="63" t="str">
        <f t="shared" si="1"/>
        <v>K</v>
      </c>
      <c r="L26" s="63" t="str">
        <f t="shared" si="1"/>
        <v>L</v>
      </c>
      <c r="M26" s="63" t="str">
        <f t="shared" si="1"/>
        <v>M</v>
      </c>
      <c r="N26" s="63" t="str">
        <f t="shared" si="1"/>
        <v>N</v>
      </c>
      <c r="O26" s="63" t="str">
        <f t="shared" si="1"/>
        <v>O</v>
      </c>
      <c r="P26" s="63" t="str">
        <f t="shared" si="1"/>
        <v>P</v>
      </c>
      <c r="Q26" s="63" t="str">
        <f t="shared" si="1"/>
        <v>Q</v>
      </c>
      <c r="R26" s="63" t="str">
        <f t="shared" si="1"/>
        <v>R</v>
      </c>
      <c r="S26" s="63" t="str">
        <f t="shared" si="1"/>
        <v>S</v>
      </c>
      <c r="T26" s="63" t="str">
        <f t="shared" si="1"/>
        <v>T</v>
      </c>
      <c r="U26" s="63" t="str">
        <f t="shared" si="1"/>
        <v>U</v>
      </c>
      <c r="V26" s="63" t="str">
        <f t="shared" si="1"/>
        <v>V</v>
      </c>
      <c r="W26" s="63" t="str">
        <f t="shared" si="1"/>
        <v>W</v>
      </c>
      <c r="X26" s="63" t="str">
        <f t="shared" si="1"/>
        <v>X</v>
      </c>
      <c r="Y26" s="63" t="str">
        <f t="shared" si="1"/>
        <v>Y</v>
      </c>
      <c r="Z26" s="63" t="str">
        <f t="shared" si="1"/>
        <v>Z</v>
      </c>
      <c r="AA26" s="63" t="str">
        <f t="shared" si="1"/>
        <v>AA</v>
      </c>
      <c r="AB26" s="63" t="str">
        <f t="shared" si="1"/>
        <v>AB</v>
      </c>
      <c r="AC26" s="63" t="str">
        <f t="shared" si="1"/>
        <v>AC</v>
      </c>
      <c r="AD26" s="63" t="str">
        <f t="shared" si="1"/>
        <v>AD</v>
      </c>
      <c r="AE26" s="63" t="str">
        <f t="shared" si="1"/>
        <v>AE</v>
      </c>
      <c r="AF26" s="63" t="str">
        <f t="shared" si="1"/>
        <v>AF</v>
      </c>
      <c r="AG26" s="63" t="str">
        <f t="shared" si="1"/>
        <v>AG</v>
      </c>
      <c r="AH26" s="63" t="str">
        <f t="shared" si="1"/>
        <v>AH</v>
      </c>
      <c r="AI26" s="63" t="str">
        <f t="shared" si="1"/>
        <v>AI</v>
      </c>
      <c r="AJ26" s="63" t="str">
        <f t="shared" si="1"/>
        <v>AJ</v>
      </c>
      <c r="AK26" s="63" t="str">
        <f t="shared" si="1"/>
        <v>AK</v>
      </c>
      <c r="AL26" s="63" t="str">
        <f t="shared" si="1"/>
        <v>AL</v>
      </c>
      <c r="AM26" s="63" t="str">
        <f t="shared" si="1"/>
        <v>AM</v>
      </c>
      <c r="AN26" s="63" t="str">
        <f t="shared" si="1"/>
        <v>AN</v>
      </c>
      <c r="AO26" s="63" t="str">
        <f t="shared" si="1"/>
        <v>AO</v>
      </c>
      <c r="AP26" s="63" t="str">
        <f t="shared" si="1"/>
        <v>AP</v>
      </c>
      <c r="AQ26" s="63" t="str">
        <f t="shared" si="1"/>
        <v>AQ</v>
      </c>
      <c r="AR26" s="63" t="str">
        <f t="shared" si="1"/>
        <v>AR</v>
      </c>
      <c r="AS26" s="63" t="str">
        <f t="shared" si="1"/>
        <v>AS</v>
      </c>
      <c r="AT26" s="63" t="str">
        <f t="shared" si="1"/>
        <v>AT</v>
      </c>
      <c r="AU26" s="63" t="str">
        <f t="shared" si="1"/>
        <v>AU</v>
      </c>
      <c r="AV26" s="63" t="str">
        <f t="shared" si="1"/>
        <v>AV</v>
      </c>
      <c r="AW26" s="63" t="str">
        <f t="shared" si="1"/>
        <v>AW</v>
      </c>
      <c r="AX26" s="63" t="str">
        <f t="shared" si="1"/>
        <v>AX</v>
      </c>
      <c r="AY26" s="63" t="str">
        <f t="shared" si="1"/>
        <v>AY</v>
      </c>
      <c r="AZ26" s="63" t="str">
        <f t="shared" si="1"/>
        <v>AZ</v>
      </c>
      <c r="BA26" s="63" t="str">
        <f t="shared" si="1"/>
        <v>BA</v>
      </c>
      <c r="BB26" s="63" t="str">
        <f t="shared" si="1"/>
        <v>BB</v>
      </c>
      <c r="BC26" s="63" t="str">
        <f t="shared" si="1"/>
        <v>BC</v>
      </c>
      <c r="BD26" s="63" t="str">
        <f t="shared" si="1"/>
        <v>BD</v>
      </c>
      <c r="BE26" s="63" t="str">
        <f t="shared" si="1"/>
        <v>BE</v>
      </c>
      <c r="BF26" s="63" t="str">
        <f t="shared" si="1"/>
        <v>BF</v>
      </c>
      <c r="BG26" s="63" t="str">
        <f t="shared" si="1"/>
        <v>BG</v>
      </c>
      <c r="BH26" s="63" t="str">
        <f t="shared" si="1"/>
        <v>BH</v>
      </c>
      <c r="BI26" s="63" t="str">
        <f t="shared" si="1"/>
        <v>BI</v>
      </c>
      <c r="BJ26" s="63" t="str">
        <f t="shared" si="1"/>
        <v>BJ</v>
      </c>
      <c r="BK26" s="63" t="str">
        <f t="shared" si="1"/>
        <v>BK</v>
      </c>
      <c r="BL26" s="63" t="str">
        <f t="shared" si="1"/>
        <v>BL</v>
      </c>
      <c r="BM26" s="63" t="str">
        <f t="shared" si="1"/>
        <v>BM</v>
      </c>
      <c r="BN26" s="63" t="str">
        <f t="shared" si="1"/>
        <v>BN</v>
      </c>
      <c r="BO26" s="63" t="str">
        <f t="shared" si="1"/>
        <v>BO</v>
      </c>
      <c r="BP26" s="63" t="str">
        <f t="shared" si="1"/>
        <v>BP</v>
      </c>
      <c r="BQ26" s="343" t="str">
        <f ca="1">INDEX($C$26:$BP$26,1,VLOOKUP(렌터카견적내기!BC13,정비!$B$39:$C$104,2,0))</f>
        <v>AF</v>
      </c>
      <c r="BR26" s="343" t="str">
        <f ca="1">INDEX($C$26:$BP$26,1,VLOOKUP(렌터카견적내기!BC35,정비!$B$39:$C$104,2,0))</f>
        <v>AR</v>
      </c>
      <c r="BS26" s="343" t="str">
        <f ca="1">INDEX($C$26:$BP$26,1,VLOOKUP(렌터카견적내기!BC77,정비!$B$39:$C$104,2,0))</f>
        <v>BD</v>
      </c>
      <c r="BT26" s="343"/>
      <c r="BU26" s="343"/>
      <c r="BV26" s="343"/>
    </row>
    <row r="27" spans="2:74" ht="14.25" customHeight="1">
      <c r="B27" s="1884" t="s">
        <v>140</v>
      </c>
      <c r="C27" s="303" t="str">
        <f>C28&amp;C29</f>
        <v>12프리미엄 플러스</v>
      </c>
      <c r="D27" s="304" t="str">
        <f t="shared" ref="D27:BP27" si="2">D28&amp;D29</f>
        <v>12프리미엄</v>
      </c>
      <c r="E27" s="304" t="str">
        <f t="shared" si="2"/>
        <v>12스탠다드 플러스</v>
      </c>
      <c r="F27" s="304" t="str">
        <f t="shared" si="2"/>
        <v>12스탠다드</v>
      </c>
      <c r="G27" s="304" t="str">
        <f t="shared" si="2"/>
        <v>12베이직</v>
      </c>
      <c r="H27" s="304" t="str">
        <f t="shared" si="2"/>
        <v>12셀프</v>
      </c>
      <c r="I27" s="304" t="str">
        <f t="shared" si="2"/>
        <v>18프리미엄 플러스</v>
      </c>
      <c r="J27" s="304" t="str">
        <f t="shared" si="2"/>
        <v>18프리미엄</v>
      </c>
      <c r="K27" s="304" t="str">
        <f t="shared" si="2"/>
        <v>18스탠다드 플러스</v>
      </c>
      <c r="L27" s="304" t="str">
        <f t="shared" si="2"/>
        <v>18스탠다드</v>
      </c>
      <c r="M27" s="304" t="str">
        <f t="shared" si="2"/>
        <v>18베이직</v>
      </c>
      <c r="N27" s="304" t="str">
        <f t="shared" si="2"/>
        <v>18셀프</v>
      </c>
      <c r="O27" s="304" t="str">
        <f t="shared" si="2"/>
        <v>24프리미엄 플러스</v>
      </c>
      <c r="P27" s="304" t="str">
        <f t="shared" si="2"/>
        <v>24프리미엄</v>
      </c>
      <c r="Q27" s="304" t="str">
        <f t="shared" si="2"/>
        <v>24스탠다드 플러스</v>
      </c>
      <c r="R27" s="304" t="str">
        <f t="shared" si="2"/>
        <v>24스탠다드</v>
      </c>
      <c r="S27" s="304" t="str">
        <f t="shared" si="2"/>
        <v>24베이직</v>
      </c>
      <c r="T27" s="304" t="str">
        <f t="shared" si="2"/>
        <v>24셀프</v>
      </c>
      <c r="U27" s="304" t="str">
        <f t="shared" si="2"/>
        <v>30프리미엄 플러스</v>
      </c>
      <c r="V27" s="304" t="str">
        <f t="shared" si="2"/>
        <v>30프리미엄</v>
      </c>
      <c r="W27" s="304" t="str">
        <f t="shared" si="2"/>
        <v>30스탠다드 플러스</v>
      </c>
      <c r="X27" s="304" t="str">
        <f t="shared" si="2"/>
        <v>30스탠다드</v>
      </c>
      <c r="Y27" s="304" t="str">
        <f t="shared" si="2"/>
        <v>30베이직</v>
      </c>
      <c r="Z27" s="304" t="str">
        <f t="shared" si="2"/>
        <v>30셀프</v>
      </c>
      <c r="AA27" s="304" t="str">
        <f t="shared" si="2"/>
        <v>36프리미엄 플러스</v>
      </c>
      <c r="AB27" s="304" t="str">
        <f t="shared" si="2"/>
        <v>36프리미엄</v>
      </c>
      <c r="AC27" s="304" t="str">
        <f t="shared" si="2"/>
        <v>36스탠다드 플러스</v>
      </c>
      <c r="AD27" s="304" t="str">
        <f t="shared" si="2"/>
        <v>36스탠다드</v>
      </c>
      <c r="AE27" s="304" t="str">
        <f t="shared" si="2"/>
        <v>36베이직</v>
      </c>
      <c r="AF27" s="304" t="str">
        <f t="shared" si="2"/>
        <v>36셀프</v>
      </c>
      <c r="AG27" s="304" t="str">
        <f t="shared" si="2"/>
        <v>42프리미엄 플러스</v>
      </c>
      <c r="AH27" s="304" t="str">
        <f t="shared" si="2"/>
        <v>42프리미엄</v>
      </c>
      <c r="AI27" s="304" t="str">
        <f t="shared" si="2"/>
        <v>42스탠다드 플러스</v>
      </c>
      <c r="AJ27" s="304" t="str">
        <f t="shared" si="2"/>
        <v>42스탠다드</v>
      </c>
      <c r="AK27" s="304" t="str">
        <f t="shared" si="2"/>
        <v>42베이직</v>
      </c>
      <c r="AL27" s="304" t="str">
        <f t="shared" si="2"/>
        <v>42셀프</v>
      </c>
      <c r="AM27" s="304" t="str">
        <f t="shared" si="2"/>
        <v>48프리미엄 플러스</v>
      </c>
      <c r="AN27" s="304" t="str">
        <f t="shared" si="2"/>
        <v>48프리미엄</v>
      </c>
      <c r="AO27" s="304" t="str">
        <f t="shared" si="2"/>
        <v>48스탠다드 플러스</v>
      </c>
      <c r="AP27" s="304" t="str">
        <f t="shared" si="2"/>
        <v>48스탠다드</v>
      </c>
      <c r="AQ27" s="304" t="str">
        <f t="shared" si="2"/>
        <v>48베이직</v>
      </c>
      <c r="AR27" s="304" t="str">
        <f t="shared" si="2"/>
        <v>48셀프</v>
      </c>
      <c r="AS27" s="304" t="str">
        <f t="shared" si="2"/>
        <v>54프리미엄 플러스</v>
      </c>
      <c r="AT27" s="304" t="str">
        <f t="shared" si="2"/>
        <v>54프리미엄</v>
      </c>
      <c r="AU27" s="304" t="str">
        <f t="shared" si="2"/>
        <v>54스탠다드 플러스</v>
      </c>
      <c r="AV27" s="304" t="str">
        <f t="shared" si="2"/>
        <v>54스탠다드</v>
      </c>
      <c r="AW27" s="304" t="str">
        <f t="shared" si="2"/>
        <v>54베이직</v>
      </c>
      <c r="AX27" s="344" t="str">
        <f t="shared" si="2"/>
        <v>54셀프</v>
      </c>
      <c r="AY27" s="345" t="str">
        <f t="shared" si="2"/>
        <v>60프리미엄 플러스</v>
      </c>
      <c r="AZ27" s="304" t="str">
        <f t="shared" si="2"/>
        <v>60프리미엄</v>
      </c>
      <c r="BA27" s="304" t="str">
        <f t="shared" si="2"/>
        <v>60스탠다드 플러스</v>
      </c>
      <c r="BB27" s="304" t="str">
        <f t="shared" si="2"/>
        <v>60스탠다드</v>
      </c>
      <c r="BC27" s="304" t="str">
        <f t="shared" si="2"/>
        <v>60베이직</v>
      </c>
      <c r="BD27" s="344" t="str">
        <f t="shared" si="2"/>
        <v>60셀프</v>
      </c>
      <c r="BE27" s="346" t="str">
        <f t="shared" si="2"/>
        <v>24e-Self</v>
      </c>
      <c r="BF27" s="346" t="str">
        <f t="shared" si="2"/>
        <v>24e-Basic</v>
      </c>
      <c r="BG27" s="346" t="str">
        <f t="shared" si="2"/>
        <v>36e-Self</v>
      </c>
      <c r="BH27" s="346" t="str">
        <f t="shared" si="2"/>
        <v>36e-Basic</v>
      </c>
      <c r="BI27" s="346" t="str">
        <f t="shared" si="2"/>
        <v>42e-Self</v>
      </c>
      <c r="BJ27" s="346" t="str">
        <f t="shared" si="2"/>
        <v>42e-Basic</v>
      </c>
      <c r="BK27" s="346" t="str">
        <f t="shared" si="2"/>
        <v>48e-Self</v>
      </c>
      <c r="BL27" s="346" t="str">
        <f t="shared" si="2"/>
        <v>48e-Basic</v>
      </c>
      <c r="BM27" s="346" t="str">
        <f t="shared" si="2"/>
        <v>54e-Self</v>
      </c>
      <c r="BN27" s="346" t="str">
        <f t="shared" si="2"/>
        <v>54e-Basic</v>
      </c>
      <c r="BO27" s="346" t="str">
        <f t="shared" si="2"/>
        <v>60e-Self</v>
      </c>
      <c r="BP27" s="347" t="str">
        <f t="shared" si="2"/>
        <v>60e-Basic</v>
      </c>
      <c r="BQ27" s="348">
        <f ca="1">INDIRECT(BQ26&amp;ROW()+BQ38+2)</f>
        <v>4666.666666666667</v>
      </c>
      <c r="BR27" s="348">
        <f ca="1">INDIRECT(BR26&amp;ROW()+BQ38+2)</f>
        <v>5479.166666666667</v>
      </c>
      <c r="BS27" s="348">
        <f ca="1">INDIRECT(BS26&amp;ROW()+BQ38+2)</f>
        <v>5966.666666666667</v>
      </c>
      <c r="BT27" s="348"/>
      <c r="BU27" s="348"/>
      <c r="BV27" s="343"/>
    </row>
    <row r="28" spans="2:74">
      <c r="B28" s="1885"/>
      <c r="C28" s="312">
        <v>12</v>
      </c>
      <c r="D28" s="349">
        <v>12</v>
      </c>
      <c r="E28" s="349">
        <v>12</v>
      </c>
      <c r="F28" s="349">
        <f>D28</f>
        <v>12</v>
      </c>
      <c r="G28" s="349">
        <f>F28</f>
        <v>12</v>
      </c>
      <c r="H28" s="19">
        <f>G28</f>
        <v>12</v>
      </c>
      <c r="I28" s="19">
        <v>18</v>
      </c>
      <c r="J28" s="19">
        <v>18</v>
      </c>
      <c r="K28" s="19">
        <v>18</v>
      </c>
      <c r="L28" s="19">
        <f>J28</f>
        <v>18</v>
      </c>
      <c r="M28" s="19">
        <f>L28</f>
        <v>18</v>
      </c>
      <c r="N28" s="19">
        <f>M28</f>
        <v>18</v>
      </c>
      <c r="O28" s="19">
        <v>24</v>
      </c>
      <c r="P28" s="19">
        <v>24</v>
      </c>
      <c r="Q28" s="19">
        <v>24</v>
      </c>
      <c r="R28" s="19">
        <f>P28</f>
        <v>24</v>
      </c>
      <c r="S28" s="19">
        <f>R28</f>
        <v>24</v>
      </c>
      <c r="T28" s="19">
        <f>S28</f>
        <v>24</v>
      </c>
      <c r="U28" s="19">
        <v>30</v>
      </c>
      <c r="V28" s="19">
        <v>30</v>
      </c>
      <c r="W28" s="19">
        <v>30</v>
      </c>
      <c r="X28" s="19">
        <f>V28</f>
        <v>30</v>
      </c>
      <c r="Y28" s="19">
        <f>X28</f>
        <v>30</v>
      </c>
      <c r="Z28" s="19">
        <f>Y28</f>
        <v>30</v>
      </c>
      <c r="AA28" s="19">
        <v>36</v>
      </c>
      <c r="AB28" s="19">
        <v>36</v>
      </c>
      <c r="AC28" s="19">
        <v>36</v>
      </c>
      <c r="AD28" s="19">
        <f>AB28</f>
        <v>36</v>
      </c>
      <c r="AE28" s="19">
        <f>AD28</f>
        <v>36</v>
      </c>
      <c r="AF28" s="19">
        <f>AE28</f>
        <v>36</v>
      </c>
      <c r="AG28" s="19">
        <v>42</v>
      </c>
      <c r="AH28" s="19">
        <v>42</v>
      </c>
      <c r="AI28" s="19">
        <v>42</v>
      </c>
      <c r="AJ28" s="19">
        <f>AH28</f>
        <v>42</v>
      </c>
      <c r="AK28" s="19">
        <f>AJ28</f>
        <v>42</v>
      </c>
      <c r="AL28" s="19">
        <f>AK28</f>
        <v>42</v>
      </c>
      <c r="AM28" s="19">
        <v>48</v>
      </c>
      <c r="AN28" s="19">
        <v>48</v>
      </c>
      <c r="AO28" s="19">
        <v>48</v>
      </c>
      <c r="AP28" s="19">
        <f>AN28</f>
        <v>48</v>
      </c>
      <c r="AQ28" s="19">
        <f>AP28</f>
        <v>48</v>
      </c>
      <c r="AR28" s="19">
        <f>AQ28</f>
        <v>48</v>
      </c>
      <c r="AS28" s="19">
        <v>54</v>
      </c>
      <c r="AT28" s="349">
        <v>54</v>
      </c>
      <c r="AU28" s="349">
        <v>54</v>
      </c>
      <c r="AV28" s="349">
        <f>AT28</f>
        <v>54</v>
      </c>
      <c r="AW28" s="349">
        <f>AV28</f>
        <v>54</v>
      </c>
      <c r="AX28" s="53">
        <f>AW28</f>
        <v>54</v>
      </c>
      <c r="AY28" s="350">
        <v>60</v>
      </c>
      <c r="AZ28" s="349">
        <v>60</v>
      </c>
      <c r="BA28" s="349">
        <v>60</v>
      </c>
      <c r="BB28" s="349">
        <f>AZ28</f>
        <v>60</v>
      </c>
      <c r="BC28" s="349">
        <f>BB28</f>
        <v>60</v>
      </c>
      <c r="BD28" s="53">
        <f>BC28</f>
        <v>60</v>
      </c>
      <c r="BE28" s="351">
        <v>24</v>
      </c>
      <c r="BF28" s="351">
        <v>24</v>
      </c>
      <c r="BG28" s="351">
        <v>36</v>
      </c>
      <c r="BH28" s="351">
        <v>36</v>
      </c>
      <c r="BI28" s="351">
        <v>42</v>
      </c>
      <c r="BJ28" s="351">
        <v>42</v>
      </c>
      <c r="BK28" s="351">
        <v>48</v>
      </c>
      <c r="BL28" s="351">
        <v>48</v>
      </c>
      <c r="BM28" s="351">
        <v>54</v>
      </c>
      <c r="BN28" s="351">
        <v>54</v>
      </c>
      <c r="BO28" s="351">
        <v>60</v>
      </c>
      <c r="BP28" s="352">
        <v>60</v>
      </c>
      <c r="BQ28" s="343"/>
      <c r="BR28" s="343"/>
      <c r="BS28" s="343"/>
      <c r="BT28" s="343"/>
      <c r="BU28" s="343"/>
      <c r="BV28" s="343"/>
    </row>
    <row r="29" spans="2:74" ht="13.5" thickBot="1">
      <c r="B29" s="1886"/>
      <c r="C29" s="353" t="s">
        <v>674</v>
      </c>
      <c r="D29" s="354" t="s">
        <v>561</v>
      </c>
      <c r="E29" s="354" t="s">
        <v>675</v>
      </c>
      <c r="F29" s="354" t="s">
        <v>676</v>
      </c>
      <c r="G29" s="354" t="s">
        <v>677</v>
      </c>
      <c r="H29" s="355" t="s">
        <v>678</v>
      </c>
      <c r="I29" s="355" t="s">
        <v>674</v>
      </c>
      <c r="J29" s="354" t="s">
        <v>561</v>
      </c>
      <c r="K29" s="354" t="s">
        <v>675</v>
      </c>
      <c r="L29" s="354" t="s">
        <v>676</v>
      </c>
      <c r="M29" s="354" t="s">
        <v>677</v>
      </c>
      <c r="N29" s="355" t="s">
        <v>678</v>
      </c>
      <c r="O29" s="355" t="s">
        <v>674</v>
      </c>
      <c r="P29" s="354" t="s">
        <v>561</v>
      </c>
      <c r="Q29" s="354" t="s">
        <v>675</v>
      </c>
      <c r="R29" s="354" t="s">
        <v>676</v>
      </c>
      <c r="S29" s="354" t="s">
        <v>677</v>
      </c>
      <c r="T29" s="355" t="s">
        <v>678</v>
      </c>
      <c r="U29" s="355" t="s">
        <v>674</v>
      </c>
      <c r="V29" s="354" t="s">
        <v>561</v>
      </c>
      <c r="W29" s="354" t="s">
        <v>675</v>
      </c>
      <c r="X29" s="354" t="s">
        <v>676</v>
      </c>
      <c r="Y29" s="354" t="s">
        <v>677</v>
      </c>
      <c r="Z29" s="355" t="s">
        <v>678</v>
      </c>
      <c r="AA29" s="355" t="s">
        <v>674</v>
      </c>
      <c r="AB29" s="354" t="s">
        <v>561</v>
      </c>
      <c r="AC29" s="354" t="s">
        <v>675</v>
      </c>
      <c r="AD29" s="354" t="s">
        <v>676</v>
      </c>
      <c r="AE29" s="354" t="s">
        <v>677</v>
      </c>
      <c r="AF29" s="355" t="s">
        <v>678</v>
      </c>
      <c r="AG29" s="355" t="s">
        <v>674</v>
      </c>
      <c r="AH29" s="354" t="s">
        <v>561</v>
      </c>
      <c r="AI29" s="354" t="s">
        <v>675</v>
      </c>
      <c r="AJ29" s="354" t="s">
        <v>676</v>
      </c>
      <c r="AK29" s="354" t="s">
        <v>677</v>
      </c>
      <c r="AL29" s="355" t="s">
        <v>678</v>
      </c>
      <c r="AM29" s="355" t="s">
        <v>674</v>
      </c>
      <c r="AN29" s="354" t="s">
        <v>561</v>
      </c>
      <c r="AO29" s="354" t="s">
        <v>675</v>
      </c>
      <c r="AP29" s="354" t="s">
        <v>676</v>
      </c>
      <c r="AQ29" s="354" t="s">
        <v>677</v>
      </c>
      <c r="AR29" s="355" t="s">
        <v>678</v>
      </c>
      <c r="AS29" s="355" t="s">
        <v>674</v>
      </c>
      <c r="AT29" s="354" t="s">
        <v>561</v>
      </c>
      <c r="AU29" s="354" t="s">
        <v>675</v>
      </c>
      <c r="AV29" s="354" t="s">
        <v>676</v>
      </c>
      <c r="AW29" s="354" t="s">
        <v>677</v>
      </c>
      <c r="AX29" s="356" t="s">
        <v>678</v>
      </c>
      <c r="AY29" s="357" t="s">
        <v>674</v>
      </c>
      <c r="AZ29" s="354" t="s">
        <v>561</v>
      </c>
      <c r="BA29" s="354" t="s">
        <v>675</v>
      </c>
      <c r="BB29" s="354" t="s">
        <v>676</v>
      </c>
      <c r="BC29" s="354" t="s">
        <v>677</v>
      </c>
      <c r="BD29" s="356" t="s">
        <v>678</v>
      </c>
      <c r="BE29" s="358" t="s">
        <v>666</v>
      </c>
      <c r="BF29" s="358" t="s">
        <v>664</v>
      </c>
      <c r="BG29" s="358" t="s">
        <v>666</v>
      </c>
      <c r="BH29" s="358" t="s">
        <v>664</v>
      </c>
      <c r="BI29" s="358" t="s">
        <v>666</v>
      </c>
      <c r="BJ29" s="358" t="s">
        <v>664</v>
      </c>
      <c r="BK29" s="358" t="s">
        <v>666</v>
      </c>
      <c r="BL29" s="358" t="s">
        <v>664</v>
      </c>
      <c r="BM29" s="358" t="s">
        <v>666</v>
      </c>
      <c r="BN29" s="358" t="s">
        <v>664</v>
      </c>
      <c r="BO29" s="358" t="s">
        <v>666</v>
      </c>
      <c r="BP29" s="359" t="s">
        <v>664</v>
      </c>
      <c r="BQ29" s="343"/>
      <c r="BR29" s="343"/>
      <c r="BS29" s="343"/>
      <c r="BT29" s="343"/>
      <c r="BU29" s="343"/>
      <c r="BV29" s="343"/>
    </row>
    <row r="30" spans="2:74" ht="13.5">
      <c r="B30" s="360" t="s">
        <v>637</v>
      </c>
      <c r="C30" s="361">
        <v>45800</v>
      </c>
      <c r="D30" s="362">
        <v>40250</v>
      </c>
      <c r="E30" s="362">
        <v>37100</v>
      </c>
      <c r="F30" s="362">
        <v>33750</v>
      </c>
      <c r="G30" s="362">
        <v>9000</v>
      </c>
      <c r="H30" s="363">
        <v>1666.6666666666667</v>
      </c>
      <c r="I30" s="363">
        <v>45800</v>
      </c>
      <c r="J30" s="362">
        <v>41166.666666666664</v>
      </c>
      <c r="K30" s="362">
        <v>37100</v>
      </c>
      <c r="L30" s="362">
        <v>34666.666666666664</v>
      </c>
      <c r="M30" s="362">
        <v>9916.6666666666661</v>
      </c>
      <c r="N30" s="363">
        <v>2583.3333333333335</v>
      </c>
      <c r="O30" s="363">
        <v>47200</v>
      </c>
      <c r="P30" s="362">
        <v>41625</v>
      </c>
      <c r="Q30" s="362">
        <v>38500</v>
      </c>
      <c r="R30" s="362">
        <v>35125</v>
      </c>
      <c r="S30" s="362">
        <v>10375</v>
      </c>
      <c r="T30" s="363">
        <v>3041.6666666666665</v>
      </c>
      <c r="U30" s="363">
        <v>46900</v>
      </c>
      <c r="V30" s="362">
        <v>42600</v>
      </c>
      <c r="W30" s="362">
        <v>38200</v>
      </c>
      <c r="X30" s="362">
        <v>36100</v>
      </c>
      <c r="Y30" s="362">
        <v>11350</v>
      </c>
      <c r="Z30" s="363">
        <v>4016.6666666666665</v>
      </c>
      <c r="AA30" s="363">
        <v>48800</v>
      </c>
      <c r="AB30" s="362">
        <v>43250</v>
      </c>
      <c r="AC30" s="362">
        <v>40100</v>
      </c>
      <c r="AD30" s="362">
        <v>36750</v>
      </c>
      <c r="AE30" s="362">
        <v>12000</v>
      </c>
      <c r="AF30" s="363">
        <v>4666.666666666667</v>
      </c>
      <c r="AG30" s="363">
        <v>48400</v>
      </c>
      <c r="AH30" s="362">
        <v>43714.285714285717</v>
      </c>
      <c r="AI30" s="362">
        <v>39700</v>
      </c>
      <c r="AJ30" s="362">
        <v>37214.285714285717</v>
      </c>
      <c r="AK30" s="362">
        <v>12464.285714285714</v>
      </c>
      <c r="AL30" s="363">
        <v>5130.9523809523807</v>
      </c>
      <c r="AM30" s="363">
        <v>49600</v>
      </c>
      <c r="AN30" s="362">
        <v>44062.5</v>
      </c>
      <c r="AO30" s="362">
        <v>40900</v>
      </c>
      <c r="AP30" s="362">
        <v>37562.5</v>
      </c>
      <c r="AQ30" s="362">
        <v>12812.5</v>
      </c>
      <c r="AR30" s="363">
        <v>5479.166666666667</v>
      </c>
      <c r="AS30" s="363">
        <v>49200</v>
      </c>
      <c r="AT30" s="362">
        <v>44333.333333333336</v>
      </c>
      <c r="AU30" s="362">
        <v>40500</v>
      </c>
      <c r="AV30" s="362">
        <v>37833.333333333336</v>
      </c>
      <c r="AW30" s="362">
        <v>13083.333333333334</v>
      </c>
      <c r="AX30" s="364">
        <v>5750</v>
      </c>
      <c r="AY30" s="365">
        <v>50100</v>
      </c>
      <c r="AZ30" s="362">
        <v>44550</v>
      </c>
      <c r="BA30" s="362">
        <v>41400</v>
      </c>
      <c r="BB30" s="362">
        <v>38050</v>
      </c>
      <c r="BC30" s="362">
        <v>13300</v>
      </c>
      <c r="BD30" s="364">
        <v>5966.666666666667</v>
      </c>
      <c r="BE30" s="366">
        <v>2680</v>
      </c>
      <c r="BF30" s="366">
        <v>11379</v>
      </c>
      <c r="BG30" s="366">
        <v>3226</v>
      </c>
      <c r="BH30" s="366">
        <v>11925</v>
      </c>
      <c r="BI30" s="367">
        <v>3411</v>
      </c>
      <c r="BJ30" s="367">
        <v>12109</v>
      </c>
      <c r="BK30" s="366">
        <v>3499</v>
      </c>
      <c r="BL30" s="366">
        <v>12198</v>
      </c>
      <c r="BM30" s="367">
        <v>3580</v>
      </c>
      <c r="BN30" s="367">
        <v>12351</v>
      </c>
      <c r="BO30" s="366">
        <v>3663</v>
      </c>
      <c r="BP30" s="368">
        <v>12362</v>
      </c>
      <c r="BQ30" s="343">
        <f ca="1">IF($B30=렌터카견적내기!$AW$15,1,0)</f>
        <v>0</v>
      </c>
      <c r="BR30" s="343"/>
      <c r="BS30" s="343"/>
      <c r="BT30" s="343"/>
      <c r="BU30" s="343"/>
      <c r="BV30" s="343"/>
    </row>
    <row r="31" spans="2:74" ht="13.5">
      <c r="B31" s="317" t="s">
        <v>638</v>
      </c>
      <c r="C31" s="318">
        <v>54800</v>
      </c>
      <c r="D31" s="319">
        <v>49250</v>
      </c>
      <c r="E31" s="319">
        <v>41100</v>
      </c>
      <c r="F31" s="319">
        <v>42750</v>
      </c>
      <c r="G31" s="319">
        <v>9000</v>
      </c>
      <c r="H31" s="320">
        <v>1666.6666666666667</v>
      </c>
      <c r="I31" s="320">
        <v>54800</v>
      </c>
      <c r="J31" s="319">
        <v>50166.666666666664</v>
      </c>
      <c r="K31" s="319">
        <v>41100</v>
      </c>
      <c r="L31" s="319">
        <v>43666.666666666664</v>
      </c>
      <c r="M31" s="319">
        <v>9916.6666666666661</v>
      </c>
      <c r="N31" s="320">
        <v>2583.3333333333335</v>
      </c>
      <c r="O31" s="320">
        <v>56200</v>
      </c>
      <c r="P31" s="319">
        <v>50625</v>
      </c>
      <c r="Q31" s="319">
        <v>42500</v>
      </c>
      <c r="R31" s="319">
        <v>44125</v>
      </c>
      <c r="S31" s="319">
        <v>10375</v>
      </c>
      <c r="T31" s="320">
        <v>3041.6666666666665</v>
      </c>
      <c r="U31" s="320">
        <v>55900</v>
      </c>
      <c r="V31" s="319">
        <v>51600</v>
      </c>
      <c r="W31" s="319">
        <v>42200</v>
      </c>
      <c r="X31" s="319">
        <v>45100</v>
      </c>
      <c r="Y31" s="319">
        <v>11350</v>
      </c>
      <c r="Z31" s="320">
        <v>4016.6666666666665</v>
      </c>
      <c r="AA31" s="320">
        <v>57800</v>
      </c>
      <c r="AB31" s="319">
        <v>52250</v>
      </c>
      <c r="AC31" s="319">
        <v>44100</v>
      </c>
      <c r="AD31" s="319">
        <v>45750</v>
      </c>
      <c r="AE31" s="319">
        <v>12000</v>
      </c>
      <c r="AF31" s="320">
        <v>4666.666666666667</v>
      </c>
      <c r="AG31" s="320">
        <v>57400</v>
      </c>
      <c r="AH31" s="319">
        <v>52714.285714285717</v>
      </c>
      <c r="AI31" s="319">
        <v>43700</v>
      </c>
      <c r="AJ31" s="319">
        <v>46214.285714285717</v>
      </c>
      <c r="AK31" s="319">
        <v>12464.285714285714</v>
      </c>
      <c r="AL31" s="320">
        <v>5130.9523809523807</v>
      </c>
      <c r="AM31" s="320">
        <v>58600</v>
      </c>
      <c r="AN31" s="319">
        <v>53062.5</v>
      </c>
      <c r="AO31" s="319">
        <v>44900</v>
      </c>
      <c r="AP31" s="319">
        <v>46562.5</v>
      </c>
      <c r="AQ31" s="319">
        <v>12812.5</v>
      </c>
      <c r="AR31" s="320">
        <v>5479.166666666667</v>
      </c>
      <c r="AS31" s="320">
        <v>58200</v>
      </c>
      <c r="AT31" s="319">
        <v>53333.333333333336</v>
      </c>
      <c r="AU31" s="319">
        <v>44500</v>
      </c>
      <c r="AV31" s="319">
        <v>46833.333333333336</v>
      </c>
      <c r="AW31" s="319">
        <v>13083.333333333334</v>
      </c>
      <c r="AX31" s="321">
        <v>5750</v>
      </c>
      <c r="AY31" s="322">
        <v>59100</v>
      </c>
      <c r="AZ31" s="319">
        <v>53550</v>
      </c>
      <c r="BA31" s="319">
        <v>45400</v>
      </c>
      <c r="BB31" s="319">
        <v>47050</v>
      </c>
      <c r="BC31" s="319">
        <v>13300</v>
      </c>
      <c r="BD31" s="321">
        <v>5966.666666666667</v>
      </c>
      <c r="BE31" s="369">
        <v>2680</v>
      </c>
      <c r="BF31" s="369">
        <v>13851</v>
      </c>
      <c r="BG31" s="369">
        <v>3226</v>
      </c>
      <c r="BH31" s="369">
        <v>14397</v>
      </c>
      <c r="BI31" s="367">
        <v>3411</v>
      </c>
      <c r="BJ31" s="367">
        <v>14623</v>
      </c>
      <c r="BK31" s="369">
        <v>3499</v>
      </c>
      <c r="BL31" s="369">
        <v>14669</v>
      </c>
      <c r="BM31" s="367">
        <v>3580</v>
      </c>
      <c r="BN31" s="367">
        <v>14750</v>
      </c>
      <c r="BO31" s="369">
        <v>3663</v>
      </c>
      <c r="BP31" s="370">
        <v>14833</v>
      </c>
      <c r="BQ31" s="343">
        <f ca="1">IF($B31=렌터카견적내기!$AW$15,2,0)</f>
        <v>2</v>
      </c>
      <c r="BR31" s="343"/>
      <c r="BS31" s="343"/>
      <c r="BT31" s="343"/>
      <c r="BU31" s="343"/>
      <c r="BV31" s="343"/>
    </row>
    <row r="32" spans="2:74" ht="13.5">
      <c r="B32" s="317" t="s">
        <v>639</v>
      </c>
      <c r="C32" s="318">
        <v>63800</v>
      </c>
      <c r="D32" s="319">
        <v>58250</v>
      </c>
      <c r="E32" s="319">
        <v>43300</v>
      </c>
      <c r="F32" s="319">
        <v>51750</v>
      </c>
      <c r="G32" s="319">
        <v>9500</v>
      </c>
      <c r="H32" s="320">
        <v>1666.6666666666667</v>
      </c>
      <c r="I32" s="320">
        <v>63800</v>
      </c>
      <c r="J32" s="319">
        <v>59166.666666666664</v>
      </c>
      <c r="K32" s="319">
        <v>43300</v>
      </c>
      <c r="L32" s="319">
        <v>52666.666666666664</v>
      </c>
      <c r="M32" s="319">
        <v>10416.666666666666</v>
      </c>
      <c r="N32" s="320">
        <v>2583.3333333333335</v>
      </c>
      <c r="O32" s="320">
        <v>65200</v>
      </c>
      <c r="P32" s="319">
        <v>59625</v>
      </c>
      <c r="Q32" s="319">
        <v>44700</v>
      </c>
      <c r="R32" s="319">
        <v>53125</v>
      </c>
      <c r="S32" s="319">
        <v>10875</v>
      </c>
      <c r="T32" s="320">
        <v>3041.6666666666665</v>
      </c>
      <c r="U32" s="320">
        <v>64900</v>
      </c>
      <c r="V32" s="319">
        <v>60600</v>
      </c>
      <c r="W32" s="319">
        <v>44400</v>
      </c>
      <c r="X32" s="319">
        <v>54100</v>
      </c>
      <c r="Y32" s="319">
        <v>11850</v>
      </c>
      <c r="Z32" s="320">
        <v>4016.6666666666665</v>
      </c>
      <c r="AA32" s="320">
        <v>66800</v>
      </c>
      <c r="AB32" s="319">
        <v>61250</v>
      </c>
      <c r="AC32" s="319">
        <v>46300</v>
      </c>
      <c r="AD32" s="319">
        <v>54750</v>
      </c>
      <c r="AE32" s="319">
        <v>12500</v>
      </c>
      <c r="AF32" s="320">
        <v>4666.666666666667</v>
      </c>
      <c r="AG32" s="320">
        <v>66400</v>
      </c>
      <c r="AH32" s="319">
        <v>61714.285714285717</v>
      </c>
      <c r="AI32" s="319">
        <v>45900</v>
      </c>
      <c r="AJ32" s="319">
        <v>55214.285714285717</v>
      </c>
      <c r="AK32" s="319">
        <v>12964.285714285714</v>
      </c>
      <c r="AL32" s="320">
        <v>5130.9523809523807</v>
      </c>
      <c r="AM32" s="320">
        <v>67600</v>
      </c>
      <c r="AN32" s="319">
        <v>62062.5</v>
      </c>
      <c r="AO32" s="319">
        <v>47200</v>
      </c>
      <c r="AP32" s="319">
        <v>55562.5</v>
      </c>
      <c r="AQ32" s="319">
        <v>13312.5</v>
      </c>
      <c r="AR32" s="320">
        <v>5479.166666666667</v>
      </c>
      <c r="AS32" s="320">
        <v>67200</v>
      </c>
      <c r="AT32" s="319">
        <v>62333.333333333336</v>
      </c>
      <c r="AU32" s="319">
        <v>46700</v>
      </c>
      <c r="AV32" s="319">
        <v>55833.333333333336</v>
      </c>
      <c r="AW32" s="319">
        <v>13583.333333333334</v>
      </c>
      <c r="AX32" s="321">
        <v>5750</v>
      </c>
      <c r="AY32" s="322">
        <v>68100</v>
      </c>
      <c r="AZ32" s="319">
        <v>62550</v>
      </c>
      <c r="BA32" s="319">
        <v>47600</v>
      </c>
      <c r="BB32" s="319">
        <v>56050</v>
      </c>
      <c r="BC32" s="319">
        <v>13800</v>
      </c>
      <c r="BD32" s="321">
        <v>5966.666666666667</v>
      </c>
      <c r="BE32" s="369">
        <v>2680</v>
      </c>
      <c r="BF32" s="369">
        <v>15695</v>
      </c>
      <c r="BG32" s="369">
        <v>3226</v>
      </c>
      <c r="BH32" s="369">
        <v>16241</v>
      </c>
      <c r="BI32" s="367">
        <v>3411</v>
      </c>
      <c r="BJ32" s="367">
        <v>16482</v>
      </c>
      <c r="BK32" s="369">
        <v>3499</v>
      </c>
      <c r="BL32" s="369">
        <v>16514</v>
      </c>
      <c r="BM32" s="367">
        <v>3580</v>
      </c>
      <c r="BN32" s="367">
        <v>16592</v>
      </c>
      <c r="BO32" s="369">
        <v>3663</v>
      </c>
      <c r="BP32" s="370">
        <v>16678</v>
      </c>
      <c r="BQ32" s="343">
        <f ca="1">IF($B32=렌터카견적내기!$AW$15,3,0)</f>
        <v>0</v>
      </c>
      <c r="BR32" s="343"/>
      <c r="BS32" s="343"/>
      <c r="BT32" s="343"/>
      <c r="BU32" s="343"/>
      <c r="BV32" s="343"/>
    </row>
    <row r="33" spans="2:74" ht="13.5">
      <c r="B33" s="317" t="s">
        <v>640</v>
      </c>
      <c r="C33" s="318">
        <v>75800</v>
      </c>
      <c r="D33" s="319">
        <v>70250</v>
      </c>
      <c r="E33" s="319">
        <v>51100</v>
      </c>
      <c r="F33" s="319">
        <v>63750</v>
      </c>
      <c r="G33" s="319">
        <v>10000</v>
      </c>
      <c r="H33" s="320">
        <v>1666.6666666666667</v>
      </c>
      <c r="I33" s="320">
        <v>75800</v>
      </c>
      <c r="J33" s="319">
        <v>71166.666666666672</v>
      </c>
      <c r="K33" s="319">
        <v>51100</v>
      </c>
      <c r="L33" s="319">
        <v>64666.666666666664</v>
      </c>
      <c r="M33" s="319">
        <v>10916.666666666666</v>
      </c>
      <c r="N33" s="320">
        <v>2583.3333333333335</v>
      </c>
      <c r="O33" s="320">
        <v>77200</v>
      </c>
      <c r="P33" s="319">
        <v>71625</v>
      </c>
      <c r="Q33" s="319">
        <v>52500</v>
      </c>
      <c r="R33" s="319">
        <v>65125</v>
      </c>
      <c r="S33" s="319">
        <v>11375</v>
      </c>
      <c r="T33" s="320">
        <v>3041.6666666666665</v>
      </c>
      <c r="U33" s="320">
        <v>76900</v>
      </c>
      <c r="V33" s="319">
        <v>72600</v>
      </c>
      <c r="W33" s="319">
        <v>52200</v>
      </c>
      <c r="X33" s="319">
        <v>66100</v>
      </c>
      <c r="Y33" s="319">
        <v>12350</v>
      </c>
      <c r="Z33" s="320">
        <v>4016.6666666666665</v>
      </c>
      <c r="AA33" s="320">
        <v>78800</v>
      </c>
      <c r="AB33" s="319">
        <v>73250</v>
      </c>
      <c r="AC33" s="319">
        <v>54100</v>
      </c>
      <c r="AD33" s="319">
        <v>66750</v>
      </c>
      <c r="AE33" s="319">
        <v>13000</v>
      </c>
      <c r="AF33" s="320">
        <v>4666.666666666667</v>
      </c>
      <c r="AG33" s="320">
        <v>78400</v>
      </c>
      <c r="AH33" s="319">
        <v>73714.28571428571</v>
      </c>
      <c r="AI33" s="319">
        <v>53700</v>
      </c>
      <c r="AJ33" s="319">
        <v>67214.28571428571</v>
      </c>
      <c r="AK33" s="319">
        <v>13464.285714285714</v>
      </c>
      <c r="AL33" s="320">
        <v>5130.9523809523807</v>
      </c>
      <c r="AM33" s="320">
        <v>79600</v>
      </c>
      <c r="AN33" s="319">
        <v>74062.5</v>
      </c>
      <c r="AO33" s="319">
        <v>54900</v>
      </c>
      <c r="AP33" s="319">
        <v>67562.5</v>
      </c>
      <c r="AQ33" s="319">
        <v>13812.5</v>
      </c>
      <c r="AR33" s="320">
        <v>5479.166666666667</v>
      </c>
      <c r="AS33" s="320">
        <v>79200</v>
      </c>
      <c r="AT33" s="319">
        <v>74333.333333333328</v>
      </c>
      <c r="AU33" s="319">
        <v>54500</v>
      </c>
      <c r="AV33" s="319">
        <v>67833.333333333328</v>
      </c>
      <c r="AW33" s="319">
        <v>14083.333333333334</v>
      </c>
      <c r="AX33" s="321">
        <v>5750</v>
      </c>
      <c r="AY33" s="322">
        <v>80100</v>
      </c>
      <c r="AZ33" s="319">
        <v>74550</v>
      </c>
      <c r="BA33" s="319">
        <v>55400</v>
      </c>
      <c r="BB33" s="319">
        <v>68050</v>
      </c>
      <c r="BC33" s="319">
        <v>14300</v>
      </c>
      <c r="BD33" s="321">
        <v>5966.666666666667</v>
      </c>
      <c r="BE33" s="369">
        <v>2680</v>
      </c>
      <c r="BF33" s="369">
        <v>18022</v>
      </c>
      <c r="BG33" s="369">
        <v>3226</v>
      </c>
      <c r="BH33" s="369">
        <v>18568</v>
      </c>
      <c r="BI33" s="367">
        <v>3411</v>
      </c>
      <c r="BJ33" s="367">
        <v>18732</v>
      </c>
      <c r="BK33" s="369">
        <v>3499</v>
      </c>
      <c r="BL33" s="369">
        <v>18841</v>
      </c>
      <c r="BM33" s="367">
        <v>3580</v>
      </c>
      <c r="BN33" s="367">
        <v>18920</v>
      </c>
      <c r="BO33" s="369">
        <v>3663</v>
      </c>
      <c r="BP33" s="370">
        <v>19005</v>
      </c>
      <c r="BQ33" s="343">
        <f ca="1">IF($B33=렌터카견적내기!$AW$15,4,0)</f>
        <v>0</v>
      </c>
      <c r="BR33" s="343"/>
      <c r="BS33" s="343"/>
      <c r="BT33" s="343"/>
      <c r="BU33" s="343"/>
      <c r="BV33" s="343"/>
    </row>
    <row r="34" spans="2:74" ht="13.5">
      <c r="B34" s="317" t="s">
        <v>641</v>
      </c>
      <c r="C34" s="318">
        <v>85800</v>
      </c>
      <c r="D34" s="319">
        <v>80250</v>
      </c>
      <c r="E34" s="319">
        <v>54900</v>
      </c>
      <c r="F34" s="319">
        <v>73750</v>
      </c>
      <c r="G34" s="319">
        <v>12612.5</v>
      </c>
      <c r="H34" s="320">
        <v>1666.6666666666667</v>
      </c>
      <c r="I34" s="320">
        <v>85800</v>
      </c>
      <c r="J34" s="319">
        <v>81166.666666666672</v>
      </c>
      <c r="K34" s="319">
        <v>54900</v>
      </c>
      <c r="L34" s="319">
        <v>74666.666666666672</v>
      </c>
      <c r="M34" s="319">
        <v>13529.166666666666</v>
      </c>
      <c r="N34" s="320">
        <v>2583.3333333333335</v>
      </c>
      <c r="O34" s="320">
        <v>87200</v>
      </c>
      <c r="P34" s="319">
        <v>81625</v>
      </c>
      <c r="Q34" s="319">
        <v>56300</v>
      </c>
      <c r="R34" s="319">
        <v>75125</v>
      </c>
      <c r="S34" s="319">
        <v>13987.5</v>
      </c>
      <c r="T34" s="320">
        <v>3041.6666666666665</v>
      </c>
      <c r="U34" s="320">
        <v>86900</v>
      </c>
      <c r="V34" s="319">
        <v>82850</v>
      </c>
      <c r="W34" s="319">
        <v>56000</v>
      </c>
      <c r="X34" s="319">
        <v>76350</v>
      </c>
      <c r="Y34" s="319">
        <v>15212.5</v>
      </c>
      <c r="Z34" s="320">
        <v>4266.666666666667</v>
      </c>
      <c r="AA34" s="320">
        <v>89200</v>
      </c>
      <c r="AB34" s="319">
        <v>83666.666666666672</v>
      </c>
      <c r="AC34" s="319">
        <v>58300</v>
      </c>
      <c r="AD34" s="319">
        <v>77166.666666666672</v>
      </c>
      <c r="AE34" s="319">
        <v>16029.166666666666</v>
      </c>
      <c r="AF34" s="320">
        <v>5083.333333333333</v>
      </c>
      <c r="AG34" s="320">
        <v>88700</v>
      </c>
      <c r="AH34" s="319">
        <v>84250</v>
      </c>
      <c r="AI34" s="319">
        <v>57800</v>
      </c>
      <c r="AJ34" s="319">
        <v>77750</v>
      </c>
      <c r="AK34" s="319">
        <v>16612.5</v>
      </c>
      <c r="AL34" s="320">
        <v>5666.666666666667</v>
      </c>
      <c r="AM34" s="320">
        <v>90200</v>
      </c>
      <c r="AN34" s="319">
        <v>84687.5</v>
      </c>
      <c r="AO34" s="319">
        <v>59300</v>
      </c>
      <c r="AP34" s="319">
        <v>78187.5</v>
      </c>
      <c r="AQ34" s="319">
        <v>17050</v>
      </c>
      <c r="AR34" s="320">
        <v>6104.166666666667</v>
      </c>
      <c r="AS34" s="320">
        <v>89700</v>
      </c>
      <c r="AT34" s="319">
        <v>85027.777777777781</v>
      </c>
      <c r="AU34" s="319">
        <v>58800</v>
      </c>
      <c r="AV34" s="319">
        <v>78527.777777777781</v>
      </c>
      <c r="AW34" s="319">
        <v>17390.277777777777</v>
      </c>
      <c r="AX34" s="321">
        <v>6444.4444444444443</v>
      </c>
      <c r="AY34" s="322">
        <v>90800</v>
      </c>
      <c r="AZ34" s="319">
        <v>85300</v>
      </c>
      <c r="BA34" s="319">
        <v>60000</v>
      </c>
      <c r="BB34" s="319">
        <v>78800</v>
      </c>
      <c r="BC34" s="319">
        <v>17662.5</v>
      </c>
      <c r="BD34" s="321">
        <v>6716.666666666667</v>
      </c>
      <c r="BE34" s="369">
        <v>2680</v>
      </c>
      <c r="BF34" s="369">
        <v>29608</v>
      </c>
      <c r="BG34" s="369">
        <v>3226</v>
      </c>
      <c r="BH34" s="369">
        <v>30154</v>
      </c>
      <c r="BI34" s="367">
        <v>3411</v>
      </c>
      <c r="BJ34" s="367">
        <v>30332</v>
      </c>
      <c r="BK34" s="369">
        <v>3499</v>
      </c>
      <c r="BL34" s="369">
        <v>30427</v>
      </c>
      <c r="BM34" s="367">
        <v>3580</v>
      </c>
      <c r="BN34" s="367">
        <v>30499</v>
      </c>
      <c r="BO34" s="369">
        <v>3663</v>
      </c>
      <c r="BP34" s="370">
        <v>30590</v>
      </c>
      <c r="BQ34" s="343">
        <f ca="1">IF($B34=렌터카견적내기!$AW$15,5,0)</f>
        <v>0</v>
      </c>
      <c r="BR34" s="343"/>
      <c r="BS34" s="343"/>
      <c r="BT34" s="343"/>
      <c r="BU34" s="343"/>
      <c r="BV34" s="343"/>
    </row>
    <row r="35" spans="2:74" ht="13.5">
      <c r="B35" s="317" t="s">
        <v>642</v>
      </c>
      <c r="C35" s="318">
        <v>94800</v>
      </c>
      <c r="D35" s="319">
        <v>89250</v>
      </c>
      <c r="E35" s="319">
        <v>56700</v>
      </c>
      <c r="F35" s="319">
        <v>82750</v>
      </c>
      <c r="G35" s="319">
        <v>12612.5</v>
      </c>
      <c r="H35" s="320">
        <v>1666.6666666666667</v>
      </c>
      <c r="I35" s="320">
        <v>94800</v>
      </c>
      <c r="J35" s="319">
        <v>90166.666666666672</v>
      </c>
      <c r="K35" s="319">
        <v>56700</v>
      </c>
      <c r="L35" s="319">
        <v>83666.666666666672</v>
      </c>
      <c r="M35" s="319">
        <v>13529.166666666666</v>
      </c>
      <c r="N35" s="320">
        <v>2583.3333333333335</v>
      </c>
      <c r="O35" s="320">
        <v>96200</v>
      </c>
      <c r="P35" s="319">
        <v>90625</v>
      </c>
      <c r="Q35" s="319">
        <v>58100</v>
      </c>
      <c r="R35" s="319">
        <v>84125</v>
      </c>
      <c r="S35" s="319">
        <v>13987.5</v>
      </c>
      <c r="T35" s="320">
        <v>3041.6666666666665</v>
      </c>
      <c r="U35" s="320">
        <v>95900</v>
      </c>
      <c r="V35" s="319">
        <v>91850</v>
      </c>
      <c r="W35" s="319">
        <v>57800</v>
      </c>
      <c r="X35" s="319">
        <v>85350</v>
      </c>
      <c r="Y35" s="319">
        <v>15212.5</v>
      </c>
      <c r="Z35" s="320">
        <v>4266.666666666667</v>
      </c>
      <c r="AA35" s="320">
        <v>98200</v>
      </c>
      <c r="AB35" s="319">
        <v>92666.666666666672</v>
      </c>
      <c r="AC35" s="319">
        <v>60100</v>
      </c>
      <c r="AD35" s="319">
        <v>86166.666666666672</v>
      </c>
      <c r="AE35" s="319">
        <v>16029.166666666666</v>
      </c>
      <c r="AF35" s="320">
        <v>5083.333333333333</v>
      </c>
      <c r="AG35" s="320">
        <v>97700</v>
      </c>
      <c r="AH35" s="319">
        <v>93250</v>
      </c>
      <c r="AI35" s="319">
        <v>59600</v>
      </c>
      <c r="AJ35" s="319">
        <v>86750</v>
      </c>
      <c r="AK35" s="319">
        <v>16612.5</v>
      </c>
      <c r="AL35" s="320">
        <v>5666.666666666667</v>
      </c>
      <c r="AM35" s="320">
        <v>99200</v>
      </c>
      <c r="AN35" s="319">
        <v>93687.5</v>
      </c>
      <c r="AO35" s="319">
        <v>61100</v>
      </c>
      <c r="AP35" s="319">
        <v>87187.5</v>
      </c>
      <c r="AQ35" s="319">
        <v>17050</v>
      </c>
      <c r="AR35" s="320">
        <v>6104.166666666667</v>
      </c>
      <c r="AS35" s="320">
        <v>98700</v>
      </c>
      <c r="AT35" s="319">
        <v>94027.777777777781</v>
      </c>
      <c r="AU35" s="319">
        <v>60700</v>
      </c>
      <c r="AV35" s="319">
        <v>87527.777777777781</v>
      </c>
      <c r="AW35" s="319">
        <v>17390.277777777777</v>
      </c>
      <c r="AX35" s="321">
        <v>6444.4444444444443</v>
      </c>
      <c r="AY35" s="322">
        <v>99800</v>
      </c>
      <c r="AZ35" s="319">
        <v>94300</v>
      </c>
      <c r="BA35" s="319">
        <v>61800</v>
      </c>
      <c r="BB35" s="319">
        <v>87800</v>
      </c>
      <c r="BC35" s="319">
        <v>17662.5</v>
      </c>
      <c r="BD35" s="321">
        <v>6716.666666666667</v>
      </c>
      <c r="BE35" s="369">
        <v>2680</v>
      </c>
      <c r="BF35" s="369">
        <v>29608</v>
      </c>
      <c r="BG35" s="369">
        <v>3226</v>
      </c>
      <c r="BH35" s="369">
        <v>30154</v>
      </c>
      <c r="BI35" s="367">
        <v>3411</v>
      </c>
      <c r="BJ35" s="367">
        <v>30328</v>
      </c>
      <c r="BK35" s="369">
        <v>3499</v>
      </c>
      <c r="BL35" s="369">
        <v>30427</v>
      </c>
      <c r="BM35" s="367">
        <v>3580</v>
      </c>
      <c r="BN35" s="367">
        <v>30499</v>
      </c>
      <c r="BO35" s="369">
        <v>3663</v>
      </c>
      <c r="BP35" s="370">
        <v>30590</v>
      </c>
      <c r="BQ35" s="343">
        <f ca="1">IF($B35=렌터카견적내기!$AW$15,6,0)</f>
        <v>0</v>
      </c>
      <c r="BR35" s="343"/>
      <c r="BS35" s="343"/>
      <c r="BT35" s="343"/>
      <c r="BU35" s="343"/>
      <c r="BV35" s="343"/>
    </row>
    <row r="36" spans="2:74" ht="13.5">
      <c r="B36" s="317" t="s">
        <v>643</v>
      </c>
      <c r="C36" s="318">
        <v>75800</v>
      </c>
      <c r="D36" s="319">
        <v>70250</v>
      </c>
      <c r="E36" s="319">
        <v>56000</v>
      </c>
      <c r="F36" s="319">
        <v>63750</v>
      </c>
      <c r="G36" s="319">
        <v>13166.666666666666</v>
      </c>
      <c r="H36" s="320">
        <v>1666.6666666666667</v>
      </c>
      <c r="I36" s="320">
        <v>75800</v>
      </c>
      <c r="J36" s="319">
        <v>71166.666666666672</v>
      </c>
      <c r="K36" s="319">
        <v>56000</v>
      </c>
      <c r="L36" s="319">
        <v>64666.666666666664</v>
      </c>
      <c r="M36" s="319">
        <v>14083.333333333334</v>
      </c>
      <c r="N36" s="320">
        <v>2583.3333333333335</v>
      </c>
      <c r="O36" s="320">
        <v>77200</v>
      </c>
      <c r="P36" s="319">
        <v>71625</v>
      </c>
      <c r="Q36" s="319">
        <v>57300</v>
      </c>
      <c r="R36" s="319">
        <v>65125</v>
      </c>
      <c r="S36" s="319">
        <v>14541.666666666666</v>
      </c>
      <c r="T36" s="320">
        <v>3041.6666666666665</v>
      </c>
      <c r="U36" s="320">
        <v>76900</v>
      </c>
      <c r="V36" s="319">
        <v>72850</v>
      </c>
      <c r="W36" s="319">
        <v>57100</v>
      </c>
      <c r="X36" s="319">
        <v>66350</v>
      </c>
      <c r="Y36" s="319">
        <v>15766.666666666666</v>
      </c>
      <c r="Z36" s="320">
        <v>4266.666666666667</v>
      </c>
      <c r="AA36" s="320">
        <v>79200</v>
      </c>
      <c r="AB36" s="319">
        <v>73666.666666666672</v>
      </c>
      <c r="AC36" s="319">
        <v>59400</v>
      </c>
      <c r="AD36" s="319">
        <v>67166.666666666672</v>
      </c>
      <c r="AE36" s="319">
        <v>16583.333333333332</v>
      </c>
      <c r="AF36" s="320">
        <v>5083.333333333333</v>
      </c>
      <c r="AG36" s="320">
        <v>78700</v>
      </c>
      <c r="AH36" s="319">
        <v>74250</v>
      </c>
      <c r="AI36" s="319">
        <v>58900</v>
      </c>
      <c r="AJ36" s="319">
        <v>67750</v>
      </c>
      <c r="AK36" s="319">
        <v>17166.666666666668</v>
      </c>
      <c r="AL36" s="320">
        <v>5666.666666666667</v>
      </c>
      <c r="AM36" s="320">
        <v>80200</v>
      </c>
      <c r="AN36" s="319">
        <v>74687.5</v>
      </c>
      <c r="AO36" s="319">
        <v>60400</v>
      </c>
      <c r="AP36" s="319">
        <v>68187.5</v>
      </c>
      <c r="AQ36" s="319">
        <v>17604.166666666668</v>
      </c>
      <c r="AR36" s="320">
        <v>6104.166666666667</v>
      </c>
      <c r="AS36" s="320">
        <v>79700</v>
      </c>
      <c r="AT36" s="319">
        <v>75027.777777777781</v>
      </c>
      <c r="AU36" s="319">
        <v>59900</v>
      </c>
      <c r="AV36" s="319">
        <v>68527.777777777781</v>
      </c>
      <c r="AW36" s="319">
        <v>17944.444444444445</v>
      </c>
      <c r="AX36" s="321">
        <v>6444.4444444444443</v>
      </c>
      <c r="AY36" s="322">
        <v>80800</v>
      </c>
      <c r="AZ36" s="319">
        <v>75300</v>
      </c>
      <c r="BA36" s="319">
        <v>61000</v>
      </c>
      <c r="BB36" s="319">
        <v>68800</v>
      </c>
      <c r="BC36" s="319">
        <v>18216.666666666668</v>
      </c>
      <c r="BD36" s="321">
        <v>6716.666666666667</v>
      </c>
      <c r="BE36" s="369">
        <v>2680</v>
      </c>
      <c r="BF36" s="369">
        <v>20276</v>
      </c>
      <c r="BG36" s="369">
        <v>3226</v>
      </c>
      <c r="BH36" s="369">
        <v>20822</v>
      </c>
      <c r="BI36" s="367">
        <v>3411</v>
      </c>
      <c r="BJ36" s="367">
        <v>20951</v>
      </c>
      <c r="BK36" s="369">
        <v>3499</v>
      </c>
      <c r="BL36" s="369">
        <v>21095</v>
      </c>
      <c r="BM36" s="367">
        <v>3580</v>
      </c>
      <c r="BN36" s="367">
        <v>21192</v>
      </c>
      <c r="BO36" s="369">
        <v>3663</v>
      </c>
      <c r="BP36" s="370">
        <v>21259</v>
      </c>
      <c r="BQ36" s="343">
        <f ca="1">IF($B36=렌터카견적내기!$AW$15,7,0)</f>
        <v>0</v>
      </c>
      <c r="BR36" s="343"/>
      <c r="BS36" s="343"/>
      <c r="BT36" s="343"/>
      <c r="BU36" s="343"/>
      <c r="BV36" s="343"/>
    </row>
    <row r="37" spans="2:74" ht="14.25" thickBot="1">
      <c r="B37" s="323" t="s">
        <v>644</v>
      </c>
      <c r="C37" s="324">
        <v>70800</v>
      </c>
      <c r="D37" s="325">
        <v>65250</v>
      </c>
      <c r="E37" s="325">
        <v>50000</v>
      </c>
      <c r="F37" s="325">
        <v>58750</v>
      </c>
      <c r="G37" s="325">
        <v>13166.666666666666</v>
      </c>
      <c r="H37" s="326">
        <v>1666.6666666666667</v>
      </c>
      <c r="I37" s="326">
        <v>70800</v>
      </c>
      <c r="J37" s="325">
        <v>66166.666666666672</v>
      </c>
      <c r="K37" s="325">
        <v>50000</v>
      </c>
      <c r="L37" s="325">
        <v>59666.666666666664</v>
      </c>
      <c r="M37" s="325">
        <v>14083.333333333334</v>
      </c>
      <c r="N37" s="326">
        <v>2583.3333333333335</v>
      </c>
      <c r="O37" s="326">
        <v>72200</v>
      </c>
      <c r="P37" s="325">
        <v>66625</v>
      </c>
      <c r="Q37" s="325">
        <v>51400</v>
      </c>
      <c r="R37" s="325">
        <v>60125</v>
      </c>
      <c r="S37" s="325">
        <v>14541.666666666666</v>
      </c>
      <c r="T37" s="326">
        <v>3041.6666666666665</v>
      </c>
      <c r="U37" s="326">
        <v>71900</v>
      </c>
      <c r="V37" s="325">
        <v>67600</v>
      </c>
      <c r="W37" s="325">
        <v>51100</v>
      </c>
      <c r="X37" s="325">
        <v>61100</v>
      </c>
      <c r="Y37" s="325">
        <v>15516.666666666666</v>
      </c>
      <c r="Z37" s="326">
        <v>4016.6666666666665</v>
      </c>
      <c r="AA37" s="326">
        <v>73800</v>
      </c>
      <c r="AB37" s="325">
        <v>68250</v>
      </c>
      <c r="AC37" s="325">
        <v>53000</v>
      </c>
      <c r="AD37" s="325">
        <v>61750</v>
      </c>
      <c r="AE37" s="325">
        <v>16166.666666666666</v>
      </c>
      <c r="AF37" s="326">
        <v>4666.666666666667</v>
      </c>
      <c r="AG37" s="326">
        <v>73400</v>
      </c>
      <c r="AH37" s="325">
        <v>68714.28571428571</v>
      </c>
      <c r="AI37" s="325">
        <v>52600</v>
      </c>
      <c r="AJ37" s="325">
        <v>62214.285714285717</v>
      </c>
      <c r="AK37" s="325">
        <v>16630.952380952382</v>
      </c>
      <c r="AL37" s="326">
        <v>5130.9523809523807</v>
      </c>
      <c r="AM37" s="326">
        <v>74600</v>
      </c>
      <c r="AN37" s="325">
        <v>69062.5</v>
      </c>
      <c r="AO37" s="325">
        <v>53800</v>
      </c>
      <c r="AP37" s="325">
        <v>62562.5</v>
      </c>
      <c r="AQ37" s="325">
        <v>16979.166666666668</v>
      </c>
      <c r="AR37" s="326">
        <v>5479.166666666667</v>
      </c>
      <c r="AS37" s="326">
        <v>74200</v>
      </c>
      <c r="AT37" s="325">
        <v>69333.333333333328</v>
      </c>
      <c r="AU37" s="325">
        <v>53400</v>
      </c>
      <c r="AV37" s="325">
        <v>62833.333333333336</v>
      </c>
      <c r="AW37" s="325">
        <v>17250</v>
      </c>
      <c r="AX37" s="327">
        <v>5750</v>
      </c>
      <c r="AY37" s="328">
        <v>75100</v>
      </c>
      <c r="AZ37" s="325">
        <v>69550</v>
      </c>
      <c r="BA37" s="325">
        <v>54300</v>
      </c>
      <c r="BB37" s="325">
        <v>63050</v>
      </c>
      <c r="BC37" s="325">
        <v>17466.666666666668</v>
      </c>
      <c r="BD37" s="327">
        <v>5966.666666666667</v>
      </c>
      <c r="BE37" s="371">
        <v>4318</v>
      </c>
      <c r="BF37" s="371">
        <v>19853</v>
      </c>
      <c r="BG37" s="371">
        <v>4318</v>
      </c>
      <c r="BH37" s="371">
        <v>19853</v>
      </c>
      <c r="BI37" s="367">
        <v>4318</v>
      </c>
      <c r="BJ37" s="367">
        <v>19853</v>
      </c>
      <c r="BK37" s="371">
        <v>4318</v>
      </c>
      <c r="BL37" s="371">
        <v>19853</v>
      </c>
      <c r="BM37" s="372">
        <v>4.3179999999999996</v>
      </c>
      <c r="BN37" s="367">
        <v>19853</v>
      </c>
      <c r="BO37" s="371">
        <v>4318</v>
      </c>
      <c r="BP37" s="373">
        <v>19853</v>
      </c>
      <c r="BQ37" s="343">
        <f ca="1">IF($B37=렌터카견적내기!$AW$15,8,0)</f>
        <v>0</v>
      </c>
      <c r="BR37" s="343"/>
      <c r="BS37" s="343"/>
      <c r="BT37" s="343"/>
      <c r="BU37" s="343"/>
      <c r="BV37" s="343"/>
    </row>
    <row r="38" spans="2:74">
      <c r="BQ38" s="343">
        <f ca="1">MAX(BQ30:BQ37)</f>
        <v>2</v>
      </c>
      <c r="BR38" s="343"/>
      <c r="BS38" s="343"/>
      <c r="BT38" s="343"/>
      <c r="BU38" s="343"/>
      <c r="BV38" s="343"/>
    </row>
    <row r="39" spans="2:74" ht="13.5" thickBot="1">
      <c r="B39" s="63" t="s">
        <v>679</v>
      </c>
      <c r="C39" s="63">
        <v>1</v>
      </c>
      <c r="E39" s="63">
        <v>12</v>
      </c>
      <c r="F39" s="63">
        <v>1</v>
      </c>
      <c r="H39" s="1887" t="s">
        <v>680</v>
      </c>
      <c r="I39" s="1887" t="s">
        <v>681</v>
      </c>
      <c r="J39" s="1887" t="s">
        <v>682</v>
      </c>
      <c r="BQ39" s="343"/>
      <c r="BR39" s="343"/>
      <c r="BS39" s="343"/>
      <c r="BT39" s="343"/>
      <c r="BU39" s="343"/>
      <c r="BV39" s="343"/>
    </row>
    <row r="40" spans="2:74" ht="15.75" thickBot="1">
      <c r="B40" s="63" t="s">
        <v>683</v>
      </c>
      <c r="C40" s="63">
        <v>2</v>
      </c>
      <c r="E40" s="63">
        <v>18</v>
      </c>
      <c r="F40" s="63">
        <v>2</v>
      </c>
      <c r="H40" s="1887"/>
      <c r="I40" s="1887"/>
      <c r="J40" s="1887"/>
      <c r="P40" s="1888" t="s">
        <v>92</v>
      </c>
      <c r="Q40" s="1889"/>
    </row>
    <row r="41" spans="2:74" ht="13.5">
      <c r="B41" s="63" t="s">
        <v>684</v>
      </c>
      <c r="C41" s="63">
        <v>3</v>
      </c>
      <c r="E41" s="63">
        <v>24</v>
      </c>
      <c r="F41" s="63">
        <v>3</v>
      </c>
      <c r="H41" s="374" t="s">
        <v>685</v>
      </c>
      <c r="I41" s="375" t="s">
        <v>686</v>
      </c>
      <c r="J41" s="375" t="s">
        <v>687</v>
      </c>
    </row>
    <row r="42" spans="2:74" ht="13.5">
      <c r="B42" s="63" t="s">
        <v>688</v>
      </c>
      <c r="C42" s="63">
        <v>4</v>
      </c>
      <c r="E42" s="63">
        <v>30</v>
      </c>
      <c r="F42" s="63">
        <v>4</v>
      </c>
      <c r="H42" s="374" t="s">
        <v>689</v>
      </c>
      <c r="I42" s="375" t="s">
        <v>690</v>
      </c>
      <c r="J42" s="375" t="s">
        <v>691</v>
      </c>
      <c r="P42" s="376" t="s">
        <v>666</v>
      </c>
      <c r="Q42" s="377" t="s">
        <v>692</v>
      </c>
      <c r="R42" s="377" t="s">
        <v>693</v>
      </c>
      <c r="S42" s="377" t="s">
        <v>694</v>
      </c>
      <c r="T42" s="377" t="s">
        <v>695</v>
      </c>
      <c r="U42" s="377" t="s">
        <v>696</v>
      </c>
    </row>
    <row r="43" spans="2:74" ht="13.5">
      <c r="B43" s="63" t="s">
        <v>697</v>
      </c>
      <c r="C43" s="63">
        <v>5</v>
      </c>
      <c r="E43" s="63">
        <v>36</v>
      </c>
      <c r="F43" s="63">
        <v>5</v>
      </c>
      <c r="H43" s="374" t="s">
        <v>698</v>
      </c>
      <c r="I43" s="375" t="s">
        <v>699</v>
      </c>
      <c r="J43" s="375" t="s">
        <v>700</v>
      </c>
      <c r="P43" s="378" t="s">
        <v>701</v>
      </c>
      <c r="Q43" s="378" t="s">
        <v>117</v>
      </c>
      <c r="R43" s="379">
        <v>2680</v>
      </c>
      <c r="S43" s="379">
        <v>3226</v>
      </c>
      <c r="T43" s="379">
        <v>3499</v>
      </c>
      <c r="U43" s="379">
        <v>3663</v>
      </c>
    </row>
    <row r="44" spans="2:74" ht="21">
      <c r="B44" s="63" t="s">
        <v>702</v>
      </c>
      <c r="C44" s="63">
        <v>6</v>
      </c>
      <c r="E44" s="63">
        <v>42</v>
      </c>
      <c r="F44" s="63">
        <v>6</v>
      </c>
      <c r="H44" s="374" t="s">
        <v>703</v>
      </c>
      <c r="I44" s="375" t="s">
        <v>704</v>
      </c>
      <c r="J44" s="375" t="s">
        <v>705</v>
      </c>
      <c r="P44" s="378" t="s">
        <v>706</v>
      </c>
      <c r="Q44" s="378" t="s">
        <v>707</v>
      </c>
      <c r="R44" s="379">
        <v>2680</v>
      </c>
      <c r="S44" s="379">
        <v>3226</v>
      </c>
      <c r="T44" s="379">
        <v>3499</v>
      </c>
      <c r="U44" s="379">
        <v>3663</v>
      </c>
    </row>
    <row r="45" spans="2:74" ht="13.5">
      <c r="B45" s="63" t="s">
        <v>708</v>
      </c>
      <c r="C45" s="63">
        <v>7</v>
      </c>
      <c r="E45" s="63">
        <v>48</v>
      </c>
      <c r="F45" s="63">
        <v>7</v>
      </c>
      <c r="H45" s="374" t="s">
        <v>709</v>
      </c>
      <c r="I45" s="375" t="s">
        <v>710</v>
      </c>
      <c r="J45" s="375" t="s">
        <v>711</v>
      </c>
      <c r="P45" s="378" t="s">
        <v>712</v>
      </c>
      <c r="Q45" s="378" t="s">
        <v>713</v>
      </c>
      <c r="R45" s="379">
        <v>2680</v>
      </c>
      <c r="S45" s="379">
        <v>3226</v>
      </c>
      <c r="T45" s="379">
        <v>3499</v>
      </c>
      <c r="U45" s="379">
        <v>3663</v>
      </c>
    </row>
    <row r="46" spans="2:74" ht="13.5">
      <c r="B46" s="63" t="s">
        <v>714</v>
      </c>
      <c r="C46" s="63">
        <v>8</v>
      </c>
      <c r="E46" s="63">
        <v>54</v>
      </c>
      <c r="F46" s="63">
        <v>8</v>
      </c>
      <c r="H46" s="374" t="s">
        <v>715</v>
      </c>
      <c r="I46" s="375" t="s">
        <v>716</v>
      </c>
      <c r="J46" s="375" t="s">
        <v>717</v>
      </c>
      <c r="P46" s="378" t="s">
        <v>718</v>
      </c>
      <c r="Q46" s="378" t="s">
        <v>713</v>
      </c>
      <c r="R46" s="379">
        <v>2680</v>
      </c>
      <c r="S46" s="379">
        <v>3226</v>
      </c>
      <c r="T46" s="379">
        <v>3499</v>
      </c>
      <c r="U46" s="379">
        <v>3663</v>
      </c>
    </row>
    <row r="47" spans="2:74" ht="13.5">
      <c r="B47" s="63" t="s">
        <v>719</v>
      </c>
      <c r="C47" s="63">
        <v>9</v>
      </c>
      <c r="E47" s="63">
        <v>60</v>
      </c>
      <c r="F47" s="63">
        <v>9</v>
      </c>
      <c r="H47" s="374" t="s">
        <v>720</v>
      </c>
      <c r="I47" s="375" t="s">
        <v>721</v>
      </c>
      <c r="J47" s="375" t="s">
        <v>722</v>
      </c>
      <c r="P47" s="378" t="s">
        <v>723</v>
      </c>
      <c r="Q47" s="378" t="s">
        <v>713</v>
      </c>
      <c r="R47" s="379">
        <v>2680</v>
      </c>
      <c r="S47" s="379">
        <v>3226</v>
      </c>
      <c r="T47" s="379">
        <v>3499</v>
      </c>
      <c r="U47" s="379">
        <v>3663</v>
      </c>
    </row>
    <row r="48" spans="2:74" ht="13.5">
      <c r="B48" s="63" t="s">
        <v>724</v>
      </c>
      <c r="C48" s="63">
        <v>10</v>
      </c>
      <c r="H48" s="374" t="s">
        <v>725</v>
      </c>
      <c r="I48" s="375" t="s">
        <v>726</v>
      </c>
      <c r="J48" s="375" t="s">
        <v>727</v>
      </c>
      <c r="P48" s="378" t="s">
        <v>728</v>
      </c>
      <c r="Q48" s="378" t="s">
        <v>713</v>
      </c>
      <c r="R48" s="379">
        <v>2680</v>
      </c>
      <c r="S48" s="379">
        <v>3226</v>
      </c>
      <c r="T48" s="379">
        <v>3499</v>
      </c>
      <c r="U48" s="379">
        <v>3663</v>
      </c>
    </row>
    <row r="49" spans="2:21" ht="31.5">
      <c r="B49" s="63" t="s">
        <v>729</v>
      </c>
      <c r="C49" s="63">
        <v>11</v>
      </c>
      <c r="P49" s="378" t="s">
        <v>730</v>
      </c>
      <c r="Q49" s="378" t="s">
        <v>731</v>
      </c>
      <c r="R49" s="379">
        <v>2680</v>
      </c>
      <c r="S49" s="379">
        <v>3226</v>
      </c>
      <c r="T49" s="379">
        <v>3499</v>
      </c>
      <c r="U49" s="379">
        <v>3663</v>
      </c>
    </row>
    <row r="50" spans="2:21">
      <c r="B50" s="63" t="s">
        <v>732</v>
      </c>
      <c r="C50" s="63">
        <v>12</v>
      </c>
      <c r="P50" s="378" t="s">
        <v>733</v>
      </c>
      <c r="Q50" s="378" t="s">
        <v>713</v>
      </c>
      <c r="R50" s="379">
        <v>4318</v>
      </c>
      <c r="S50" s="379">
        <v>4318</v>
      </c>
      <c r="T50" s="379">
        <v>4318</v>
      </c>
      <c r="U50" s="379">
        <v>4318</v>
      </c>
    </row>
    <row r="51" spans="2:21">
      <c r="B51" s="63" t="s">
        <v>734</v>
      </c>
      <c r="C51" s="63">
        <v>13</v>
      </c>
    </row>
    <row r="52" spans="2:21">
      <c r="B52" s="63" t="s">
        <v>735</v>
      </c>
      <c r="C52" s="63">
        <v>14</v>
      </c>
    </row>
    <row r="53" spans="2:21">
      <c r="B53" s="63" t="s">
        <v>736</v>
      </c>
      <c r="C53" s="63">
        <v>15</v>
      </c>
      <c r="P53" s="376" t="s">
        <v>664</v>
      </c>
      <c r="Q53" s="380" t="s">
        <v>692</v>
      </c>
      <c r="R53" s="380" t="s">
        <v>693</v>
      </c>
      <c r="S53" s="380" t="s">
        <v>694</v>
      </c>
      <c r="T53" s="380" t="s">
        <v>695</v>
      </c>
      <c r="U53" s="380" t="s">
        <v>696</v>
      </c>
    </row>
    <row r="54" spans="2:21">
      <c r="B54" s="63" t="s">
        <v>737</v>
      </c>
      <c r="C54" s="63">
        <v>16</v>
      </c>
      <c r="P54" s="381" t="s">
        <v>701</v>
      </c>
      <c r="Q54" s="378" t="s">
        <v>117</v>
      </c>
      <c r="R54" s="382">
        <v>11379</v>
      </c>
      <c r="S54" s="382">
        <v>11925</v>
      </c>
      <c r="T54" s="382">
        <v>12198</v>
      </c>
      <c r="U54" s="382">
        <v>12362</v>
      </c>
    </row>
    <row r="55" spans="2:21" ht="21">
      <c r="B55" s="63" t="s">
        <v>738</v>
      </c>
      <c r="C55" s="63">
        <v>17</v>
      </c>
      <c r="P55" s="381" t="s">
        <v>706</v>
      </c>
      <c r="Q55" s="378" t="s">
        <v>707</v>
      </c>
      <c r="R55" s="382">
        <v>13851</v>
      </c>
      <c r="S55" s="382">
        <v>14397</v>
      </c>
      <c r="T55" s="382">
        <v>14669</v>
      </c>
      <c r="U55" s="382">
        <v>14833</v>
      </c>
    </row>
    <row r="56" spans="2:21">
      <c r="B56" s="63" t="s">
        <v>739</v>
      </c>
      <c r="C56" s="63">
        <v>18</v>
      </c>
      <c r="P56" s="381" t="s">
        <v>712</v>
      </c>
      <c r="Q56" s="378" t="s">
        <v>740</v>
      </c>
      <c r="R56" s="382">
        <v>15695</v>
      </c>
      <c r="S56" s="382">
        <v>16241</v>
      </c>
      <c r="T56" s="382">
        <v>16514</v>
      </c>
      <c r="U56" s="382">
        <v>16678</v>
      </c>
    </row>
    <row r="57" spans="2:21">
      <c r="B57" s="63" t="s">
        <v>741</v>
      </c>
      <c r="C57" s="63">
        <v>19</v>
      </c>
      <c r="P57" s="381" t="s">
        <v>718</v>
      </c>
      <c r="Q57" s="378" t="s">
        <v>740</v>
      </c>
      <c r="R57" s="382">
        <v>18022</v>
      </c>
      <c r="S57" s="382">
        <v>18568</v>
      </c>
      <c r="T57" s="382">
        <v>18841</v>
      </c>
      <c r="U57" s="382">
        <v>19005</v>
      </c>
    </row>
    <row r="58" spans="2:21">
      <c r="B58" s="63" t="s">
        <v>742</v>
      </c>
      <c r="C58" s="63">
        <v>20</v>
      </c>
      <c r="P58" s="381" t="s">
        <v>723</v>
      </c>
      <c r="Q58" s="378" t="s">
        <v>740</v>
      </c>
      <c r="R58" s="382">
        <v>29608</v>
      </c>
      <c r="S58" s="382">
        <v>30154</v>
      </c>
      <c r="T58" s="382">
        <v>30427</v>
      </c>
      <c r="U58" s="382">
        <v>30590</v>
      </c>
    </row>
    <row r="59" spans="2:21">
      <c r="B59" s="63" t="s">
        <v>743</v>
      </c>
      <c r="C59" s="63">
        <v>21</v>
      </c>
      <c r="P59" s="381" t="s">
        <v>728</v>
      </c>
      <c r="Q59" s="378" t="s">
        <v>740</v>
      </c>
      <c r="R59" s="382">
        <v>29608</v>
      </c>
      <c r="S59" s="382">
        <v>30154</v>
      </c>
      <c r="T59" s="382">
        <v>30427</v>
      </c>
      <c r="U59" s="382">
        <v>30590</v>
      </c>
    </row>
    <row r="60" spans="2:21" ht="31.5">
      <c r="B60" s="63" t="s">
        <v>744</v>
      </c>
      <c r="C60" s="63">
        <v>22</v>
      </c>
      <c r="P60" s="381" t="s">
        <v>730</v>
      </c>
      <c r="Q60" s="378" t="s">
        <v>731</v>
      </c>
      <c r="R60" s="382">
        <v>20276</v>
      </c>
      <c r="S60" s="382">
        <v>20822</v>
      </c>
      <c r="T60" s="382">
        <v>21095</v>
      </c>
      <c r="U60" s="382">
        <v>21259</v>
      </c>
    </row>
    <row r="61" spans="2:21">
      <c r="B61" s="63" t="s">
        <v>745</v>
      </c>
      <c r="C61" s="63">
        <v>23</v>
      </c>
      <c r="P61" s="381" t="s">
        <v>733</v>
      </c>
      <c r="Q61" s="381" t="s">
        <v>740</v>
      </c>
      <c r="R61" s="382">
        <v>19853</v>
      </c>
      <c r="S61" s="382">
        <v>19853</v>
      </c>
      <c r="T61" s="382">
        <v>19853</v>
      </c>
      <c r="U61" s="382">
        <v>19853</v>
      </c>
    </row>
    <row r="62" spans="2:21">
      <c r="B62" s="63" t="s">
        <v>746</v>
      </c>
      <c r="C62" s="63">
        <v>24</v>
      </c>
    </row>
    <row r="63" spans="2:21">
      <c r="B63" s="63" t="s">
        <v>747</v>
      </c>
      <c r="C63" s="63">
        <v>25</v>
      </c>
    </row>
    <row r="64" spans="2:21">
      <c r="B64" s="63" t="s">
        <v>748</v>
      </c>
      <c r="C64" s="63">
        <v>26</v>
      </c>
    </row>
    <row r="65" spans="2:3">
      <c r="B65" s="63" t="s">
        <v>749</v>
      </c>
      <c r="C65" s="63">
        <v>27</v>
      </c>
    </row>
    <row r="66" spans="2:3">
      <c r="B66" s="63" t="s">
        <v>750</v>
      </c>
      <c r="C66" s="63">
        <v>28</v>
      </c>
    </row>
    <row r="67" spans="2:3">
      <c r="B67" s="63" t="s">
        <v>751</v>
      </c>
      <c r="C67" s="63">
        <v>29</v>
      </c>
    </row>
    <row r="68" spans="2:3">
      <c r="B68" s="63" t="s">
        <v>752</v>
      </c>
      <c r="C68" s="63">
        <v>30</v>
      </c>
    </row>
    <row r="69" spans="2:3">
      <c r="B69" s="63" t="s">
        <v>753</v>
      </c>
      <c r="C69" s="63">
        <v>31</v>
      </c>
    </row>
    <row r="70" spans="2:3">
      <c r="B70" s="63" t="s">
        <v>754</v>
      </c>
      <c r="C70" s="63">
        <v>32</v>
      </c>
    </row>
    <row r="71" spans="2:3">
      <c r="B71" s="63" t="s">
        <v>755</v>
      </c>
      <c r="C71" s="63">
        <v>33</v>
      </c>
    </row>
    <row r="72" spans="2:3">
      <c r="B72" s="63" t="s">
        <v>756</v>
      </c>
      <c r="C72" s="63">
        <v>34</v>
      </c>
    </row>
    <row r="73" spans="2:3">
      <c r="B73" s="63" t="s">
        <v>757</v>
      </c>
      <c r="C73" s="63">
        <v>35</v>
      </c>
    </row>
    <row r="74" spans="2:3">
      <c r="B74" s="63" t="s">
        <v>758</v>
      </c>
      <c r="C74" s="63">
        <v>36</v>
      </c>
    </row>
    <row r="75" spans="2:3">
      <c r="B75" s="63" t="s">
        <v>759</v>
      </c>
      <c r="C75" s="63">
        <v>37</v>
      </c>
    </row>
    <row r="76" spans="2:3">
      <c r="B76" s="63" t="s">
        <v>760</v>
      </c>
      <c r="C76" s="63">
        <v>38</v>
      </c>
    </row>
    <row r="77" spans="2:3">
      <c r="B77" s="63" t="s">
        <v>761</v>
      </c>
      <c r="C77" s="63">
        <v>39</v>
      </c>
    </row>
    <row r="78" spans="2:3">
      <c r="B78" s="63" t="s">
        <v>762</v>
      </c>
      <c r="C78" s="63">
        <v>40</v>
      </c>
    </row>
    <row r="79" spans="2:3">
      <c r="B79" s="63" t="s">
        <v>763</v>
      </c>
      <c r="C79" s="63">
        <v>41</v>
      </c>
    </row>
    <row r="80" spans="2:3">
      <c r="B80" s="63" t="s">
        <v>764</v>
      </c>
      <c r="C80" s="63">
        <v>42</v>
      </c>
    </row>
    <row r="81" spans="2:3">
      <c r="B81" s="63" t="s">
        <v>765</v>
      </c>
      <c r="C81" s="63">
        <v>43</v>
      </c>
    </row>
    <row r="82" spans="2:3">
      <c r="B82" s="63" t="s">
        <v>766</v>
      </c>
      <c r="C82" s="63">
        <v>44</v>
      </c>
    </row>
    <row r="83" spans="2:3">
      <c r="B83" s="63" t="s">
        <v>767</v>
      </c>
      <c r="C83" s="63">
        <v>45</v>
      </c>
    </row>
    <row r="84" spans="2:3">
      <c r="B84" s="63" t="s">
        <v>768</v>
      </c>
      <c r="C84" s="63">
        <v>46</v>
      </c>
    </row>
    <row r="85" spans="2:3">
      <c r="B85" s="63" t="s">
        <v>769</v>
      </c>
      <c r="C85" s="63">
        <v>47</v>
      </c>
    </row>
    <row r="86" spans="2:3">
      <c r="B86" s="63" t="s">
        <v>770</v>
      </c>
      <c r="C86" s="63">
        <v>48</v>
      </c>
    </row>
    <row r="87" spans="2:3">
      <c r="B87" s="63" t="s">
        <v>771</v>
      </c>
      <c r="C87" s="63">
        <v>49</v>
      </c>
    </row>
    <row r="88" spans="2:3">
      <c r="B88" s="63" t="s">
        <v>772</v>
      </c>
      <c r="C88" s="63">
        <v>50</v>
      </c>
    </row>
    <row r="89" spans="2:3">
      <c r="B89" s="63" t="s">
        <v>773</v>
      </c>
      <c r="C89" s="63">
        <v>51</v>
      </c>
    </row>
    <row r="90" spans="2:3">
      <c r="B90" s="63" t="s">
        <v>774</v>
      </c>
      <c r="C90" s="63">
        <v>52</v>
      </c>
    </row>
    <row r="91" spans="2:3">
      <c r="B91" s="63" t="s">
        <v>775</v>
      </c>
      <c r="C91" s="63">
        <v>53</v>
      </c>
    </row>
    <row r="92" spans="2:3">
      <c r="B92" s="63" t="s">
        <v>776</v>
      </c>
      <c r="C92" s="63">
        <v>54</v>
      </c>
    </row>
    <row r="93" spans="2:3">
      <c r="B93" s="64" t="s">
        <v>777</v>
      </c>
      <c r="C93" s="63">
        <v>55</v>
      </c>
    </row>
    <row r="94" spans="2:3">
      <c r="B94" s="64" t="s">
        <v>778</v>
      </c>
      <c r="C94" s="63">
        <v>56</v>
      </c>
    </row>
    <row r="95" spans="2:3">
      <c r="B95" s="64" t="s">
        <v>779</v>
      </c>
      <c r="C95" s="63">
        <v>57</v>
      </c>
    </row>
    <row r="96" spans="2:3">
      <c r="B96" s="64" t="s">
        <v>780</v>
      </c>
      <c r="C96" s="63">
        <v>58</v>
      </c>
    </row>
    <row r="97" spans="2:3">
      <c r="B97" s="64" t="s">
        <v>781</v>
      </c>
      <c r="C97" s="63">
        <v>59</v>
      </c>
    </row>
    <row r="98" spans="2:3">
      <c r="B98" s="64" t="s">
        <v>782</v>
      </c>
      <c r="C98" s="63">
        <v>60</v>
      </c>
    </row>
    <row r="99" spans="2:3">
      <c r="B99" s="64" t="s">
        <v>783</v>
      </c>
      <c r="C99" s="63">
        <v>61</v>
      </c>
    </row>
    <row r="100" spans="2:3">
      <c r="B100" s="64" t="s">
        <v>784</v>
      </c>
      <c r="C100" s="63">
        <v>62</v>
      </c>
    </row>
    <row r="101" spans="2:3">
      <c r="B101" s="64" t="s">
        <v>785</v>
      </c>
      <c r="C101" s="63">
        <v>63</v>
      </c>
    </row>
    <row r="102" spans="2:3">
      <c r="B102" s="64" t="s">
        <v>786</v>
      </c>
      <c r="C102" s="63">
        <v>64</v>
      </c>
    </row>
    <row r="103" spans="2:3">
      <c r="B103" s="64" t="s">
        <v>787</v>
      </c>
      <c r="C103" s="63">
        <v>65</v>
      </c>
    </row>
    <row r="104" spans="2:3">
      <c r="B104" s="63" t="s">
        <v>788</v>
      </c>
      <c r="C104" s="63">
        <v>66</v>
      </c>
    </row>
  </sheetData>
  <mergeCells count="7">
    <mergeCell ref="B3:B4"/>
    <mergeCell ref="P3:P4"/>
    <mergeCell ref="B27:B29"/>
    <mergeCell ref="H39:H40"/>
    <mergeCell ref="I39:I40"/>
    <mergeCell ref="J39:J40"/>
    <mergeCell ref="P40:Q4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FF00"/>
    <pageSetUpPr fitToPage="1"/>
  </sheetPr>
  <dimension ref="A1:CI174"/>
  <sheetViews>
    <sheetView showGridLines="0" tabSelected="1" zoomScale="70" zoomScaleNormal="70" workbookViewId="0">
      <selection activeCell="AL9" sqref="AL9"/>
    </sheetView>
  </sheetViews>
  <sheetFormatPr defaultRowHeight="14.25"/>
  <cols>
    <col min="1" max="1" width="0.85546875" style="253" customWidth="1"/>
    <col min="2" max="2" width="2.7109375" customWidth="1"/>
    <col min="3" max="3" width="11.42578125" customWidth="1"/>
    <col min="4" max="4" width="0.85546875" customWidth="1"/>
    <col min="5" max="5" width="2" customWidth="1"/>
    <col min="6" max="6" width="7.7109375" customWidth="1"/>
    <col min="7" max="7" width="0.7109375" customWidth="1"/>
    <col min="8" max="8" width="7.140625" customWidth="1"/>
    <col min="9" max="9" width="5.85546875" customWidth="1"/>
    <col min="10" max="10" width="2.85546875" customWidth="1"/>
    <col min="11" max="11" width="3.140625" customWidth="1"/>
    <col min="12" max="12" width="2" customWidth="1"/>
    <col min="13" max="13" width="7.5703125" customWidth="1"/>
    <col min="14" max="14" width="10" customWidth="1"/>
    <col min="15" max="15" width="6.85546875" style="255" customWidth="1"/>
    <col min="16" max="16" width="4.42578125" customWidth="1"/>
    <col min="17" max="17" width="2.42578125" customWidth="1"/>
    <col min="18" max="18" width="8.5703125" customWidth="1"/>
    <col min="19" max="19" width="1.140625" customWidth="1"/>
    <col min="20" max="20" width="2.5703125" customWidth="1"/>
    <col min="21" max="21" width="4.140625" customWidth="1"/>
    <col min="22" max="22" width="11.42578125" customWidth="1"/>
    <col min="23" max="23" width="3.7109375" customWidth="1"/>
    <col min="24" max="24" width="3.42578125" customWidth="1"/>
    <col min="25" max="25" width="6.85546875" customWidth="1"/>
    <col min="26" max="26" width="2.140625" customWidth="1"/>
    <col min="27" max="27" width="14.85546875" customWidth="1"/>
    <col min="28" max="28" width="22.140625" customWidth="1"/>
    <col min="29" max="29" width="6.28515625" customWidth="1"/>
    <col min="30" max="30" width="1.7109375" customWidth="1"/>
    <col min="31" max="31" width="10.42578125" style="1141" customWidth="1"/>
    <col min="32" max="32" width="15.5703125" style="445" customWidth="1"/>
    <col min="33" max="33" width="9.140625" customWidth="1"/>
    <col min="34" max="34" width="9" customWidth="1"/>
    <col min="35" max="35" width="17.7109375" customWidth="1"/>
    <col min="36" max="36" width="20" customWidth="1"/>
    <col min="37" max="37" width="18.140625" customWidth="1"/>
    <col min="38" max="38" width="29.140625" customWidth="1"/>
    <col min="39" max="39" width="13.42578125" style="200" customWidth="1"/>
    <col min="40" max="41" width="18" style="254" customWidth="1"/>
    <col min="42" max="42" width="17.85546875" style="254" customWidth="1"/>
    <col min="43" max="43" width="17.140625" style="254" customWidth="1"/>
    <col min="44" max="44" width="3.85546875" customWidth="1"/>
    <col min="45" max="45" width="21.85546875" style="200" customWidth="1"/>
    <col min="46" max="46" width="17.42578125" customWidth="1"/>
    <col min="47" max="47" width="15" customWidth="1"/>
    <col min="48" max="48" width="9.140625" style="144" customWidth="1"/>
    <col min="49" max="49" width="27.85546875" style="144" customWidth="1"/>
    <col min="50" max="50" width="38.7109375" style="144" customWidth="1"/>
    <col min="51" max="51" width="17.28515625" style="144" customWidth="1"/>
    <col min="52" max="52" width="11.85546875" style="144" customWidth="1"/>
    <col min="53" max="53" width="17" style="216" customWidth="1"/>
    <col min="54" max="54" width="18" style="144" customWidth="1"/>
    <col min="55" max="55" width="19.42578125" style="144" customWidth="1"/>
    <col min="56" max="56" width="12.28515625" style="144" customWidth="1"/>
    <col min="57" max="57" width="22.5703125" style="144" customWidth="1"/>
    <col min="58" max="58" width="23" style="144" customWidth="1"/>
    <col min="59" max="59" width="21.85546875" style="144" customWidth="1"/>
    <col min="60" max="60" width="7.42578125" style="144" customWidth="1"/>
    <col min="61" max="61" width="36" style="144" customWidth="1"/>
    <col min="62" max="62" width="19.42578125" style="144" customWidth="1"/>
    <col min="63" max="63" width="17.5703125" customWidth="1"/>
    <col min="64" max="64" width="15.7109375" customWidth="1"/>
    <col min="65" max="65" width="14.42578125" customWidth="1"/>
    <col min="66" max="66" width="5.140625" customWidth="1"/>
    <col min="67" max="67" width="7.5703125" customWidth="1"/>
    <col min="68" max="68" width="9.7109375" customWidth="1"/>
    <col min="69" max="69" width="15.42578125" customWidth="1"/>
    <col min="70" max="70" width="21.7109375" customWidth="1"/>
    <col min="71" max="71" width="10.42578125" customWidth="1"/>
    <col min="72" max="72" width="24" customWidth="1"/>
    <col min="73" max="73" width="8.85546875" customWidth="1"/>
  </cols>
  <sheetData>
    <row r="1" spans="1:87" ht="0.75" customHeight="1" thickBot="1">
      <c r="A1" s="446"/>
      <c r="B1" s="928"/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590"/>
      <c r="P1" s="928"/>
      <c r="Q1" s="928"/>
      <c r="R1" s="928"/>
      <c r="S1" s="928"/>
      <c r="T1" s="928"/>
      <c r="U1" s="928"/>
      <c r="V1" s="928"/>
      <c r="W1" s="928"/>
      <c r="X1" s="928"/>
      <c r="Y1" s="928"/>
      <c r="Z1" s="928"/>
      <c r="AA1" s="928"/>
      <c r="AB1" s="928"/>
      <c r="AC1" s="928"/>
      <c r="AD1" s="928"/>
      <c r="AE1" s="1137"/>
      <c r="AF1" s="591"/>
      <c r="AG1" s="928"/>
      <c r="AH1" s="928"/>
      <c r="AI1" s="928"/>
      <c r="AJ1" s="928"/>
      <c r="AK1" s="928"/>
      <c r="AL1" s="928" t="s">
        <v>944</v>
      </c>
      <c r="AM1" s="592"/>
      <c r="AN1" s="929"/>
      <c r="AO1" s="929"/>
      <c r="AP1" s="929"/>
      <c r="AQ1" s="929"/>
      <c r="AR1" s="63"/>
      <c r="AS1" s="64"/>
      <c r="AT1" s="63"/>
      <c r="AU1" s="63"/>
      <c r="AV1" s="65"/>
      <c r="AW1" s="65"/>
      <c r="AX1" s="65"/>
      <c r="AY1" s="65"/>
      <c r="AZ1" s="65"/>
      <c r="BA1" s="66"/>
      <c r="BB1" s="65"/>
      <c r="BC1" s="67"/>
      <c r="BD1" s="68"/>
      <c r="BE1" s="68"/>
      <c r="BF1" s="68"/>
      <c r="BG1" s="68"/>
      <c r="BH1" s="68"/>
      <c r="BI1" s="68"/>
      <c r="BJ1" s="68"/>
      <c r="BK1" s="69"/>
      <c r="BL1" s="69"/>
      <c r="BM1" s="69"/>
    </row>
    <row r="2" spans="1:87" ht="23.25" customHeight="1" thickBot="1">
      <c r="A2" s="446"/>
      <c r="B2" s="1649" t="s">
        <v>133</v>
      </c>
      <c r="C2" s="1649"/>
      <c r="D2" s="1649"/>
      <c r="E2" s="1649"/>
      <c r="F2" s="1649"/>
      <c r="G2" s="1649"/>
      <c r="H2" s="1649"/>
      <c r="I2" s="1649"/>
      <c r="J2" s="1649"/>
      <c r="K2" s="930"/>
      <c r="L2" s="930"/>
      <c r="M2" s="931"/>
      <c r="N2" s="932"/>
      <c r="O2" s="593"/>
      <c r="P2" s="593"/>
      <c r="Q2" s="593"/>
      <c r="R2" s="593"/>
      <c r="S2" s="593"/>
      <c r="T2" s="593"/>
      <c r="U2" s="593"/>
      <c r="V2" s="594"/>
      <c r="W2" s="594"/>
      <c r="X2" s="933"/>
      <c r="Y2" s="1675" t="s">
        <v>2009</v>
      </c>
      <c r="Z2" s="1675"/>
      <c r="AA2" s="1675"/>
      <c r="AB2" s="1675"/>
      <c r="AC2" s="1675"/>
      <c r="AD2" s="741"/>
      <c r="AE2" s="1137"/>
      <c r="AF2" s="1673" t="s">
        <v>933</v>
      </c>
      <c r="AG2" s="1674"/>
      <c r="AH2" s="1674"/>
      <c r="AI2" s="1674"/>
      <c r="AJ2" s="1674"/>
      <c r="AK2" s="595" t="s">
        <v>937</v>
      </c>
      <c r="AL2" s="932"/>
      <c r="AM2" s="596" t="str">
        <f ca="1">IF(AO17=1,"할인 대상아님",IF(AO17=1,"할인 대상아님",IF(AW4="","할인 대상아님",IF(AND(AQ32="비대상",AT4=2),"  MyCAR_카드연결","할인 대상아님"))))</f>
        <v xml:space="preserve">  MyCAR_카드연결</v>
      </c>
      <c r="AN2" s="597" t="str">
        <f ca="1">IF(AW4="이쿼녹스 1.6 디젤 ","TRUE","FALSE")</f>
        <v>FALSE</v>
      </c>
      <c r="AO2" s="598" t="s">
        <v>134</v>
      </c>
      <c r="AP2" s="1667">
        <f ca="1">IF(LEFT(AW4,2)="타호",AB9/1.036,IF(AW4=AM10,AB9*0.909090911032789,IF(AW4="트래버스 가솔린 3.6 ",AB9*0.97,IF(AND(AY4=4.1%,AX12="면세"),(AB9)/AS58,IF(AND(AY4=2.87%,AX12="면세"),(AB9)/AS59,AB9)))))</f>
        <v>41279787.335042253</v>
      </c>
      <c r="AQ2" s="1668"/>
      <c r="AR2" s="70"/>
      <c r="AS2" s="424"/>
      <c r="AT2" s="70"/>
      <c r="AU2" s="72" t="s">
        <v>135</v>
      </c>
      <c r="AV2" s="68"/>
      <c r="AW2" s="73"/>
      <c r="AX2" s="74" t="str">
        <f ca="1">+AW4</f>
        <v xml:space="preserve">아반떼 가솔린 1.6 </v>
      </c>
      <c r="AY2" s="68"/>
      <c r="AZ2" s="68"/>
      <c r="BA2" s="75"/>
      <c r="BB2" s="68"/>
      <c r="BC2" s="67" t="str">
        <f ca="1">INDEX(BC5:BC12,렌터카견적내기!$BC$4)</f>
        <v>셀프</v>
      </c>
      <c r="BD2" s="68"/>
      <c r="BE2" s="68">
        <v>255000</v>
      </c>
      <c r="BF2" s="68"/>
      <c r="BG2" s="68"/>
      <c r="BH2" s="76"/>
      <c r="BI2" s="68"/>
      <c r="BJ2" s="68"/>
      <c r="BK2" s="69"/>
      <c r="BL2" s="69"/>
      <c r="BM2" s="69"/>
    </row>
    <row r="3" spans="1:87" ht="21" customHeight="1" thickBot="1">
      <c r="A3" s="446"/>
      <c r="B3" s="1649"/>
      <c r="C3" s="1649"/>
      <c r="D3" s="1649"/>
      <c r="E3" s="1649"/>
      <c r="F3" s="1649"/>
      <c r="G3" s="1649"/>
      <c r="H3" s="1649"/>
      <c r="I3" s="1649"/>
      <c r="J3" s="1649"/>
      <c r="K3" s="599"/>
      <c r="L3" s="599"/>
      <c r="M3" s="599"/>
      <c r="N3" s="932"/>
      <c r="O3" s="593"/>
      <c r="P3" s="593"/>
      <c r="Q3" s="593"/>
      <c r="R3" s="593"/>
      <c r="S3" s="593"/>
      <c r="T3" s="593"/>
      <c r="U3" s="593"/>
      <c r="V3" s="1694" t="str">
        <f>+AI5&amp;"고객님 귀하"</f>
        <v>(고객명)고객님 귀하</v>
      </c>
      <c r="W3" s="1694"/>
      <c r="X3" s="1694"/>
      <c r="Y3" s="1694"/>
      <c r="Z3" s="1695"/>
      <c r="AA3" s="600" t="s">
        <v>136</v>
      </c>
      <c r="AB3" s="1655" t="str">
        <f>+AJ5</f>
        <v>(담당자명)</v>
      </c>
      <c r="AC3" s="1655"/>
      <c r="AD3" s="601"/>
      <c r="AE3" s="1137"/>
      <c r="AF3" s="1146" t="s">
        <v>931</v>
      </c>
      <c r="AG3" s="1653" t="s">
        <v>945</v>
      </c>
      <c r="AH3" s="1654"/>
      <c r="AI3" s="1147" t="s">
        <v>932</v>
      </c>
      <c r="AJ3" s="1148" t="s">
        <v>945</v>
      </c>
      <c r="AK3" s="602" t="str">
        <f ca="1">IF(AW14="전략P","Y","N")</f>
        <v>N</v>
      </c>
      <c r="AL3" s="932"/>
      <c r="AM3" s="603" t="s">
        <v>137</v>
      </c>
      <c r="AN3" s="1095" t="s">
        <v>138</v>
      </c>
      <c r="AO3" s="605">
        <f>IF(AND(AO5=2,AO4=1),3,IF(AT10="유림로지텍",1,2))</f>
        <v>3</v>
      </c>
      <c r="AP3" s="1592" t="s">
        <v>139</v>
      </c>
      <c r="AQ3" s="606" t="str">
        <f>INDEX(AP5:AP14,AQ4)</f>
        <v>서울(경기)</v>
      </c>
      <c r="AR3" s="77"/>
      <c r="AS3" s="71"/>
      <c r="AT3" s="70"/>
      <c r="AU3" s="78"/>
      <c r="AV3" s="79" t="s">
        <v>140</v>
      </c>
      <c r="AW3" s="80" t="s">
        <v>141</v>
      </c>
      <c r="AX3" s="81" t="s">
        <v>94</v>
      </c>
      <c r="AY3" s="1064" t="s">
        <v>1185</v>
      </c>
      <c r="AZ3" s="68"/>
      <c r="BA3" s="1594" t="s">
        <v>142</v>
      </c>
      <c r="BB3" s="1595"/>
      <c r="BC3" s="518" t="b">
        <f>IF(BC4=5,TRUE)</f>
        <v>0</v>
      </c>
      <c r="BD3" s="82" t="b">
        <f>IF(BC4=4,TRUE)</f>
        <v>0</v>
      </c>
      <c r="BE3" s="82" t="b">
        <f>IF(BC4=3,TRUE)</f>
        <v>0</v>
      </c>
      <c r="BF3" s="82" t="b">
        <f>IF(BC4=2,TRUE)</f>
        <v>0</v>
      </c>
      <c r="BG3" s="82" t="b">
        <f>IF(BC4=1,TRUE)</f>
        <v>0</v>
      </c>
      <c r="BH3" s="68"/>
      <c r="BI3" s="1597" t="s">
        <v>143</v>
      </c>
      <c r="BJ3" s="1598"/>
      <c r="BK3" s="1599"/>
      <c r="BL3" s="267"/>
      <c r="BM3" s="267"/>
      <c r="BT3" s="83"/>
    </row>
    <row r="4" spans="1:87" ht="21" customHeight="1" thickBot="1">
      <c r="A4" s="447"/>
      <c r="B4" s="599"/>
      <c r="C4" s="599"/>
      <c r="D4" s="928"/>
      <c r="E4" s="788"/>
      <c r="F4" s="788"/>
      <c r="G4" s="788"/>
      <c r="H4" s="934"/>
      <c r="I4" s="934"/>
      <c r="J4" s="928"/>
      <c r="K4" s="928"/>
      <c r="L4" s="928"/>
      <c r="M4" s="928"/>
      <c r="N4" s="934"/>
      <c r="O4" s="590"/>
      <c r="P4" s="590"/>
      <c r="Q4" s="590"/>
      <c r="R4" s="590"/>
      <c r="S4" s="590"/>
      <c r="T4" s="590"/>
      <c r="U4" s="590"/>
      <c r="V4" s="607" t="s">
        <v>144</v>
      </c>
      <c r="W4" s="1650">
        <f ca="1">NOW()</f>
        <v>45673.52760671296</v>
      </c>
      <c r="X4" s="1651"/>
      <c r="Y4" s="1651"/>
      <c r="Z4" s="1652"/>
      <c r="AA4" s="608" t="s">
        <v>145</v>
      </c>
      <c r="AB4" s="1676" t="s">
        <v>2010</v>
      </c>
      <c r="AC4" s="1676"/>
      <c r="AD4" s="609"/>
      <c r="AE4" s="1647" t="s">
        <v>1324</v>
      </c>
      <c r="AF4" s="1149"/>
      <c r="AG4" s="1149"/>
      <c r="AH4" s="1149"/>
      <c r="AI4" s="1149"/>
      <c r="AJ4" s="1150" t="str">
        <f ca="1">IF(AW16="E","할인 대상아님",IF(AQ35="대상"," 자동 할인 반영 중",IF(AO17=1,"할인 대상아님",IF(AO17=1," 할인 대상아님",IF(AW4=""," 할인 대상아님",IF(AND(AQ32="비대상",AT4=2)," MyCAR_카드연결"," 할인 대상아님"))))))</f>
        <v xml:space="preserve"> MyCAR_카드연결</v>
      </c>
      <c r="AK4" s="1145" t="s">
        <v>1263</v>
      </c>
      <c r="AL4" s="932"/>
      <c r="AM4" s="610"/>
      <c r="AN4" s="1096" t="s">
        <v>146</v>
      </c>
      <c r="AO4" s="1098">
        <v>1</v>
      </c>
      <c r="AP4" s="1593"/>
      <c r="AQ4" s="1094">
        <v>1</v>
      </c>
      <c r="AR4" s="77"/>
      <c r="AS4" s="1037" t="s">
        <v>147</v>
      </c>
      <c r="AT4" s="1027">
        <v>2</v>
      </c>
      <c r="AU4" s="84"/>
      <c r="AV4" s="85" t="s">
        <v>90</v>
      </c>
      <c r="AW4" s="1051" t="str">
        <f ca="1">INDEX(렌터카모델!D3:D250,렌터카모델!D2)</f>
        <v xml:space="preserve">아반떼 가솔린 1.6 </v>
      </c>
      <c r="AX4" s="86" t="str">
        <f ca="1">INDEX(렌터카모델!AI3:AI147,렌터카모델!D2)</f>
        <v>현대</v>
      </c>
      <c r="AY4" s="1455">
        <f ca="1">VLOOKUP(AW4,렌터카모델!$D$2:$BQ$878,35,0)</f>
        <v>4.1000000000000002E-2</v>
      </c>
      <c r="AZ4" s="68"/>
      <c r="BA4" s="1897">
        <f>IF(AG23=36, 3, IF(AG23=48, 5, IF(AG23=60, 7, "")))</f>
        <v>3</v>
      </c>
      <c r="BB4" s="529">
        <f>INDEX(BA5:BA11,BA4)</f>
        <v>36</v>
      </c>
      <c r="BC4" s="87">
        <v>6</v>
      </c>
      <c r="BD4" s="88" t="s">
        <v>148</v>
      </c>
      <c r="BE4" s="89" t="s">
        <v>149</v>
      </c>
      <c r="BF4" s="89" t="s">
        <v>150</v>
      </c>
      <c r="BG4" s="90" t="s">
        <v>151</v>
      </c>
      <c r="BH4" s="68"/>
      <c r="BI4" s="504" t="s">
        <v>152</v>
      </c>
      <c r="BJ4" s="505">
        <v>1</v>
      </c>
      <c r="BK4" s="506"/>
      <c r="BL4" s="267"/>
      <c r="BM4" s="267"/>
      <c r="BQ4" s="1571" t="s">
        <v>153</v>
      </c>
      <c r="BR4" s="1572"/>
      <c r="BS4" s="428"/>
    </row>
    <row r="5" spans="1:87" ht="22.5" customHeight="1" thickBot="1">
      <c r="A5" s="447"/>
      <c r="B5" s="936"/>
      <c r="C5" s="937"/>
      <c r="D5" s="938"/>
      <c r="E5" s="939"/>
      <c r="F5" s="1573" t="str">
        <f ca="1">IF(AG34&lt;4%,"※견적오류가능성이큽니다.담당자 문의해주세요",IF(AND(AW16="E",AO33=0),"",IF(OR(AO33&lt;100000,AQ19&lt;MIN(렌터카보험_수정!AG57:AJ57,렌터카보험_수정!AG72:AJ72,렌터카보험_수정!AN57:AQ57,렌터카보험_수정!AN72:AQ72)),"※견적오류가능성이큽니다.담당자 문의해주세요","")))</f>
        <v/>
      </c>
      <c r="G5" s="1573"/>
      <c r="H5" s="1573"/>
      <c r="I5" s="1573"/>
      <c r="J5" s="1573"/>
      <c r="K5" s="1573"/>
      <c r="L5" s="1573"/>
      <c r="M5" s="1573"/>
      <c r="N5" s="1573"/>
      <c r="O5" s="1573"/>
      <c r="P5" s="1573"/>
      <c r="Q5" s="1573"/>
      <c r="R5" s="940"/>
      <c r="S5" s="611"/>
      <c r="T5" s="611"/>
      <c r="U5" s="611"/>
      <c r="V5" s="1656" t="str">
        <f ca="1">IFERROR(IF(AND(AW16="E",AO33=0),"",IF(OR(AO33=0,AO20=0,AO21=0,AO23=0,AQ19=0,AQ20=0,BF7=0,BF6=0,BF8=0,BF9=0,BF10=0,BF12=0,BF30=0,BF31=0,BF32=0,AX28=0,AX33=0,F20&lt;165000,P20&lt;165000,AG34&lt;4%,AG35&lt;1.37%,AY54&lt;8000000,AX35&lt;26000,AY30&lt;21500,AG37&lt;310000),"※견적 오류가능성이 큽니다※",IF(AND(BI12=1,F14&lt;10%),"※견적 오류가능성이 큽니다※",IF(AND(BI12=1,P14&lt;10%),"※견적 오류가능성이 큽니다※","")))),"")</f>
        <v/>
      </c>
      <c r="W5" s="1656"/>
      <c r="X5" s="1656"/>
      <c r="Y5" s="1656"/>
      <c r="Z5" s="1656"/>
      <c r="AA5" s="1656"/>
      <c r="AB5" s="1656"/>
      <c r="AC5" s="1656"/>
      <c r="AD5" s="941"/>
      <c r="AE5" s="1648"/>
      <c r="AF5" s="1600"/>
      <c r="AG5" s="1600"/>
      <c r="AH5" s="1601"/>
      <c r="AI5" s="1151" t="s">
        <v>939</v>
      </c>
      <c r="AJ5" s="1152" t="s">
        <v>938</v>
      </c>
      <c r="AK5" s="1153" t="str">
        <f ca="1">(IF(AND(AT4=1,AX28&gt;79999999),"Y","N"))</f>
        <v>N</v>
      </c>
      <c r="AL5" s="1048">
        <f>IF(AF2=AL7,2,IF(AF2=AL8,3,1))</f>
        <v>3</v>
      </c>
      <c r="AM5" s="1046" t="s">
        <v>154</v>
      </c>
      <c r="AN5" s="1097" t="s">
        <v>839</v>
      </c>
      <c r="AO5" s="612">
        <v>2</v>
      </c>
      <c r="AP5" s="1042" t="s">
        <v>80</v>
      </c>
      <c r="AQ5" s="614" t="b">
        <f>'현대제조사탁송료(전기차too)'!C20</f>
        <v>0</v>
      </c>
      <c r="AR5" s="77"/>
      <c r="AS5" s="92"/>
      <c r="AT5" s="1027" t="s">
        <v>155</v>
      </c>
      <c r="AU5" s="84"/>
      <c r="AV5" s="93" t="s">
        <v>156</v>
      </c>
      <c r="AW5" s="1052" t="str">
        <f ca="1">IF(AND(렌터카모델!B2=2,렌터카모델!D2=1),"3월 개소세 인하 이전 원래 차량가격을 입력해주세요.",IF(ISERROR(AG24),"렌터카 취급 불가 모델. 본사 확인 요망",IF(AND($AW$13="I",$AO$17=1),"렌터카 취급 불가 모델. 본사 확인 요망",IF(AP2=0,"차량가격확인 요망, 본사 담당자 문의바랍니다!",IF(AB9&gt;300000000,"렌터카 취급 불가 모델. 본사 확인 요망",INDEX(렌터카모델!C3:C250,렌터카모델!D2))))))</f>
        <v xml:space="preserve">아반떼 가솔린 1.6 </v>
      </c>
      <c r="AX5" s="94"/>
      <c r="AY5" s="1064" t="s">
        <v>157</v>
      </c>
      <c r="AZ5" s="68"/>
      <c r="BA5" s="516">
        <v>12</v>
      </c>
      <c r="BB5" s="530">
        <v>50</v>
      </c>
      <c r="BC5" s="95" t="str">
        <f ca="1">IF(AW16="E","정비를선택해주세요!",IF($AW$13="d","프리미엄 플러스","수입차셀프"))</f>
        <v>프리미엄 플러스</v>
      </c>
      <c r="BD5" s="96" t="s">
        <v>158</v>
      </c>
      <c r="BE5" s="97"/>
      <c r="BF5" s="97"/>
      <c r="BG5" s="98">
        <f ca="1">ROUNDUP(SUM(BG6:BG13),-2)</f>
        <v>755500</v>
      </c>
      <c r="BH5" s="68"/>
      <c r="BI5" s="267"/>
      <c r="BJ5" s="507" t="s">
        <v>159</v>
      </c>
      <c r="BK5" s="508"/>
      <c r="BL5" s="267"/>
      <c r="BM5" s="267"/>
      <c r="BQ5" s="5" t="s">
        <v>160</v>
      </c>
      <c r="BR5" s="99" t="s">
        <v>161</v>
      </c>
      <c r="BS5" s="433"/>
    </row>
    <row r="6" spans="1:87" ht="21.75" customHeight="1" thickBot="1">
      <c r="A6" s="446"/>
      <c r="B6" s="1617" t="s">
        <v>162</v>
      </c>
      <c r="C6" s="1617"/>
      <c r="D6" s="1618"/>
      <c r="E6" s="1620" t="str">
        <f ca="1">IF(AB7&gt;200000000,"총차량가 2억 초과차량",IF(AU12=TRUE,AG9,+AW5))</f>
        <v xml:space="preserve">아반떼 가솔린 1.6 </v>
      </c>
      <c r="F6" s="1621"/>
      <c r="G6" s="1621"/>
      <c r="H6" s="1621"/>
      <c r="I6" s="1621"/>
      <c r="J6" s="1621"/>
      <c r="K6" s="1621"/>
      <c r="L6" s="1621"/>
      <c r="M6" s="1621"/>
      <c r="N6" s="1621"/>
      <c r="O6" s="1621"/>
      <c r="P6" s="1621"/>
      <c r="Q6" s="1621"/>
      <c r="R6" s="1621"/>
      <c r="S6" s="1621"/>
      <c r="T6" s="1621"/>
      <c r="U6" s="1621"/>
      <c r="V6" s="1622"/>
      <c r="W6" s="1622"/>
      <c r="X6" s="1623" t="str">
        <f>IF(AO15=TRUE,AJ8,"")</f>
        <v/>
      </c>
      <c r="Y6" s="1623"/>
      <c r="Z6" s="1624"/>
      <c r="AA6" s="615" t="s">
        <v>163</v>
      </c>
      <c r="AB6" s="1640">
        <f>+AJ9</f>
        <v>0</v>
      </c>
      <c r="AC6" s="1641"/>
      <c r="AD6" s="616"/>
      <c r="AE6" s="1173" t="s">
        <v>1325</v>
      </c>
      <c r="AF6" s="1699"/>
      <c r="AG6" s="1699"/>
      <c r="AH6" s="1699"/>
      <c r="AI6" s="1699"/>
      <c r="AJ6" s="1700"/>
      <c r="AK6" s="1157"/>
      <c r="AL6" s="1049" t="s">
        <v>923</v>
      </c>
      <c r="AM6" s="1047"/>
      <c r="AN6" s="617" t="b">
        <v>1</v>
      </c>
      <c r="AO6" s="618" t="s">
        <v>166</v>
      </c>
      <c r="AP6" s="1042" t="s">
        <v>48</v>
      </c>
      <c r="AQ6" s="614" t="b">
        <f>'현대제조사탁송료(전기차too)'!C21</f>
        <v>0</v>
      </c>
      <c r="AR6" s="77"/>
      <c r="AS6" s="92"/>
      <c r="AT6" s="1027" t="s">
        <v>842</v>
      </c>
      <c r="AU6" s="84"/>
      <c r="AV6" s="93" t="s">
        <v>167</v>
      </c>
      <c r="AW6" s="101">
        <f>+AG7</f>
        <v>43480000</v>
      </c>
      <c r="AX6" s="94" t="s">
        <v>167</v>
      </c>
      <c r="AY6" s="576" t="str">
        <f ca="1">VLOOKUP(AW4,렌터카모델!$D$2:$BQ$878,32,0)</f>
        <v>현대</v>
      </c>
      <c r="AZ6" s="68"/>
      <c r="BA6" s="516">
        <v>24</v>
      </c>
      <c r="BB6" s="530">
        <v>40</v>
      </c>
      <c r="BC6" s="95" t="str">
        <f ca="1">IF(AW16="E","정비를선택해주세요!",IF($AW$13="d","프리미엄","수입차셀프"))</f>
        <v>프리미엄</v>
      </c>
      <c r="BD6" s="102" t="s">
        <v>168</v>
      </c>
      <c r="BE6" s="103" t="s">
        <v>169</v>
      </c>
      <c r="BF6" s="104">
        <f ca="1">$AY$27+$AY$49-BF7-AX51</f>
        <v>15207209</v>
      </c>
      <c r="BG6" s="105">
        <f ca="1">ROUNDDOWN(PMT(BF19/12,BB4,-BF6,0),-2)</f>
        <v>472900</v>
      </c>
      <c r="BH6" s="68"/>
      <c r="BI6" s="267"/>
      <c r="BJ6" s="509" t="s">
        <v>177</v>
      </c>
      <c r="BK6" s="510"/>
      <c r="BL6" s="267"/>
      <c r="BM6" s="267"/>
      <c r="BQ6" s="106">
        <v>0</v>
      </c>
      <c r="BR6" s="99">
        <v>0</v>
      </c>
      <c r="BS6" s="433"/>
    </row>
    <row r="7" spans="1:87" ht="24.95" customHeight="1" thickBot="1">
      <c r="A7" s="446"/>
      <c r="B7" s="1659" t="s">
        <v>170</v>
      </c>
      <c r="C7" s="1659"/>
      <c r="D7" s="1660"/>
      <c r="E7" s="1696">
        <f>+AG8</f>
        <v>0</v>
      </c>
      <c r="F7" s="1697"/>
      <c r="G7" s="1697"/>
      <c r="H7" s="1697"/>
      <c r="I7" s="1697"/>
      <c r="J7" s="1697"/>
      <c r="K7" s="1697"/>
      <c r="L7" s="1697"/>
      <c r="M7" s="1697"/>
      <c r="N7" s="1697"/>
      <c r="O7" s="1697"/>
      <c r="P7" s="1697"/>
      <c r="Q7" s="1697"/>
      <c r="R7" s="1697"/>
      <c r="S7" s="1697"/>
      <c r="T7" s="1697"/>
      <c r="U7" s="1697"/>
      <c r="V7" s="1697"/>
      <c r="W7" s="1697"/>
      <c r="X7" s="1697"/>
      <c r="Y7" s="1697"/>
      <c r="Z7" s="1698"/>
      <c r="AA7" s="619" t="s">
        <v>171</v>
      </c>
      <c r="AB7" s="1701">
        <f>AB9-E8+IF(AO4=1,AG16,AG68)</f>
        <v>43480000</v>
      </c>
      <c r="AC7" s="1702"/>
      <c r="AD7" s="620"/>
      <c r="AE7" s="1666" t="s">
        <v>1328</v>
      </c>
      <c r="AF7" s="1154" t="s">
        <v>164</v>
      </c>
      <c r="AG7" s="1670">
        <v>43480000</v>
      </c>
      <c r="AH7" s="1670"/>
      <c r="AI7" s="1155" t="s">
        <v>165</v>
      </c>
      <c r="AJ7" s="1156">
        <v>0</v>
      </c>
      <c r="AK7" s="1644" t="s">
        <v>1287</v>
      </c>
      <c r="AL7" s="1050" t="s">
        <v>923</v>
      </c>
      <c r="AM7" s="791"/>
      <c r="AN7" s="622" t="b">
        <f>IF(AO5=2,TRUE,FALSE)</f>
        <v>1</v>
      </c>
      <c r="AO7" s="623" t="s">
        <v>172</v>
      </c>
      <c r="AP7" s="1042" t="s">
        <v>49</v>
      </c>
      <c r="AQ7" s="614" t="b">
        <f>'현대제조사탁송료(전기차too)'!C22</f>
        <v>0</v>
      </c>
      <c r="AR7" s="77"/>
      <c r="AS7" s="71"/>
      <c r="AT7" s="70"/>
      <c r="AU7" s="84"/>
      <c r="AV7" s="107" t="s">
        <v>173</v>
      </c>
      <c r="AW7" s="108">
        <f>IF(AND(AO5=1,AU10=TRUE),AK11,IF(AND(AO5=1,AU10=FALSE),AJ11,AG12))</f>
        <v>0</v>
      </c>
      <c r="AX7" s="579" t="s">
        <v>174</v>
      </c>
      <c r="AY7" s="1135">
        <f>+렌터카모델!B2</f>
        <v>2</v>
      </c>
      <c r="AZ7" s="68"/>
      <c r="BA7" s="516">
        <v>36</v>
      </c>
      <c r="BB7" s="530">
        <v>30</v>
      </c>
      <c r="BC7" s="95" t="str">
        <f ca="1">IF(AW16="E","정비를선택해주세요!",IF($AW$13="d","스탠다드 플러스","수입차셀프"))</f>
        <v>스탠다드 플러스</v>
      </c>
      <c r="BD7" s="109" t="s">
        <v>175</v>
      </c>
      <c r="BE7" s="91" t="s">
        <v>176</v>
      </c>
      <c r="BF7" s="110">
        <f ca="1">ROUNDUP(BB18/1.1,-4)</f>
        <v>23720000</v>
      </c>
      <c r="BG7" s="111">
        <f ca="1">ROUNDDOWN(BF7*BF19/12,-2)</f>
        <v>148000</v>
      </c>
      <c r="BH7" s="68"/>
      <c r="BI7" s="267"/>
      <c r="BJ7" s="504" t="s">
        <v>1196</v>
      </c>
      <c r="BK7" s="506"/>
      <c r="BL7" s="267"/>
      <c r="BM7" s="267"/>
      <c r="BQ7" s="5" t="s">
        <v>178</v>
      </c>
      <c r="BR7" s="99">
        <v>0.1</v>
      </c>
      <c r="BS7" s="433"/>
    </row>
    <row r="8" spans="1:87" ht="24.95" customHeight="1" thickBot="1">
      <c r="A8" s="446"/>
      <c r="B8" s="1497" t="str">
        <f>IF(AO5=2,"대리점할인","")</f>
        <v>대리점할인</v>
      </c>
      <c r="C8" s="1497"/>
      <c r="D8" s="1497"/>
      <c r="E8" s="1629">
        <f>IF(AO5=2,AG12,0)</f>
        <v>0</v>
      </c>
      <c r="F8" s="1629"/>
      <c r="G8" s="1629"/>
      <c r="H8" s="1629"/>
      <c r="I8" s="1630"/>
      <c r="J8" s="1637" t="s">
        <v>850</v>
      </c>
      <c r="K8" s="1638"/>
      <c r="L8" s="1638"/>
      <c r="M8" s="1639"/>
      <c r="N8" s="1657" t="str">
        <f ca="1">IF(AM18=TRUE,"",VLOOKUP(AW16,주요기준!$B$33:$C$45,2,0))</f>
        <v>보통휘발유</v>
      </c>
      <c r="O8" s="1657"/>
      <c r="P8" s="1657"/>
      <c r="Q8" s="1658"/>
      <c r="R8" s="1631"/>
      <c r="S8" s="1632"/>
      <c r="T8" s="1632"/>
      <c r="U8" s="1632"/>
      <c r="V8" s="1632"/>
      <c r="W8" s="1632"/>
      <c r="X8" s="1632"/>
      <c r="Y8" s="1632"/>
      <c r="Z8" s="1633"/>
      <c r="AA8" s="624" t="s">
        <v>179</v>
      </c>
      <c r="AB8" s="1627" t="str">
        <f ca="1">IF(AW16="E","",IF(LEFT(AW4,3)="캐스퍼","998cc",IF(AX2="스토닉 가솔린 터보 1.0 ","998cc",AW12&amp;"cc"&amp;"/"&amp;" "&amp;AW17&amp;"인승")))</f>
        <v>1598cc/ 5인승</v>
      </c>
      <c r="AC8" s="1628"/>
      <c r="AD8" s="1628"/>
      <c r="AE8" s="1461"/>
      <c r="AF8" s="1142" t="s">
        <v>862</v>
      </c>
      <c r="AG8" s="1625"/>
      <c r="AH8" s="1625"/>
      <c r="AI8" s="1625"/>
      <c r="AJ8" s="1164"/>
      <c r="AK8" s="1645"/>
      <c r="AL8" s="1049" t="s">
        <v>924</v>
      </c>
      <c r="AM8" s="791"/>
      <c r="AN8" s="625" t="s">
        <v>181</v>
      </c>
      <c r="AO8" s="605" t="str">
        <f ca="1">IFERROR(INDEX(렌터카모델!W3:W147,렌터카모델!D2),'현대제조사탁송료(전기차too)'!#REF!)</f>
        <v>02:울산</v>
      </c>
      <c r="AP8" s="1042" t="s">
        <v>50</v>
      </c>
      <c r="AQ8" s="614" t="b">
        <f>'현대제조사탁송료(전기차too)'!C23</f>
        <v>0</v>
      </c>
      <c r="AR8" s="77"/>
      <c r="AS8" s="71"/>
      <c r="AT8" s="70"/>
      <c r="AU8" s="423" t="b">
        <v>1</v>
      </c>
      <c r="AV8" s="113" t="s">
        <v>182</v>
      </c>
      <c r="AW8" s="114">
        <f>IF(AW6=0,0,AJ7)</f>
        <v>0</v>
      </c>
      <c r="AX8" s="580"/>
      <c r="AY8" s="1064" t="s">
        <v>1994</v>
      </c>
      <c r="AZ8" s="68"/>
      <c r="BA8" s="516">
        <v>42</v>
      </c>
      <c r="BB8" s="530">
        <v>25</v>
      </c>
      <c r="BC8" s="95" t="str">
        <f ca="1">IF(AW16="E","정비를선택해주세요!",IF($AW$13="d","스탠다드","수입차셀프"))</f>
        <v>스탠다드</v>
      </c>
      <c r="BD8" s="109" t="s">
        <v>183</v>
      </c>
      <c r="BE8" s="115" t="s">
        <v>184</v>
      </c>
      <c r="BF8" s="116">
        <f ca="1">$AY$30+$AY$34</f>
        <v>1569880</v>
      </c>
      <c r="BG8" s="117">
        <f ca="1">ROUNDDOWN(PMT(BF19/12,BB4,-BF8,0),-2)</f>
        <v>48800</v>
      </c>
      <c r="BH8" s="68"/>
      <c r="BI8" s="511" t="s">
        <v>185</v>
      </c>
      <c r="BJ8" s="512">
        <f>IF(BJ4=1,0.13,IF(BJ4=2,0.01,0.02))</f>
        <v>0.13</v>
      </c>
      <c r="BK8" s="511"/>
      <c r="BL8" s="267"/>
      <c r="BM8" s="267"/>
      <c r="BQ8" s="5" t="s">
        <v>186</v>
      </c>
      <c r="BR8" s="99">
        <v>0.2</v>
      </c>
      <c r="BS8" s="433"/>
    </row>
    <row r="9" spans="1:87" ht="24.95" customHeight="1" thickBot="1">
      <c r="A9" s="446" t="s">
        <v>1777</v>
      </c>
      <c r="B9" s="1659" t="s">
        <v>164</v>
      </c>
      <c r="C9" s="1659"/>
      <c r="D9" s="1660"/>
      <c r="E9" s="1661">
        <f>AW6</f>
        <v>43480000</v>
      </c>
      <c r="F9" s="1662"/>
      <c r="G9" s="1662"/>
      <c r="H9" s="1662"/>
      <c r="I9" s="1663"/>
      <c r="J9" s="1637" t="s">
        <v>587</v>
      </c>
      <c r="K9" s="1638"/>
      <c r="L9" s="1638"/>
      <c r="M9" s="1639"/>
      <c r="N9" s="1688">
        <f>AW8</f>
        <v>0</v>
      </c>
      <c r="O9" s="1688"/>
      <c r="P9" s="1688"/>
      <c r="Q9" s="1689"/>
      <c r="R9" s="1634"/>
      <c r="S9" s="1635"/>
      <c r="T9" s="1635"/>
      <c r="U9" s="1635"/>
      <c r="V9" s="1635"/>
      <c r="W9" s="1635"/>
      <c r="X9" s="1635"/>
      <c r="Y9" s="1635"/>
      <c r="Z9" s="1636"/>
      <c r="AA9" s="624" t="s">
        <v>851</v>
      </c>
      <c r="AB9" s="1664">
        <f>IF(AO5=2,AW10,E9+N9)</f>
        <v>43480000</v>
      </c>
      <c r="AC9" s="1665"/>
      <c r="AD9" s="616"/>
      <c r="AE9" s="1461"/>
      <c r="AF9" s="1142" t="s">
        <v>861</v>
      </c>
      <c r="AG9" s="1690"/>
      <c r="AH9" s="1690"/>
      <c r="AI9" s="621" t="s">
        <v>180</v>
      </c>
      <c r="AJ9" s="1165"/>
      <c r="AK9" s="1646"/>
      <c r="AL9" s="928"/>
      <c r="AM9" s="1045" t="s">
        <v>188</v>
      </c>
      <c r="AN9" s="626" t="s">
        <v>189</v>
      </c>
      <c r="AO9" s="627" t="str">
        <f>IF(OR(AO4=1,AO4=3,AO4=4,AO4=6),"미반영",IF(AO4=2,IF(AO8='현대제조사탁송료(전기차too)'!D5,INDEX('현대제조사탁송료(전기차too)'!D7:D16,AQ4),IF(AO8='현대제조사탁송료(전기차too)'!E5,INDEX('현대제조사탁송료(전기차too)'!E7:E16,AQ4),IF(AO8='현대제조사탁송료(전기차too)'!F5,INDEX('현대제조사탁송료(전기차too)'!F7:F16,AQ4),IF(AO8='현대제조사탁송료(전기차too)'!G5,INDEX('현대제조사탁송료(전기차too)'!G7:G16,AQ4),IF(AO8='현대제조사탁송료(전기차too)'!H5,INDEX('현대제조사탁송료(전기차too)'!H7:H16,AQ4),IF(AO8='현대제조사탁송료(전기차too)'!I5,INDEX('현대제조사탁송료(전기차too)'!I7:I16,AQ4),IF(AO8='현대제조사탁송료(전기차too)'!J5,INDEX('현대제조사탁송료(전기차too)'!J7:J16,AQ4),IF(AO8='현대제조사탁송료(전기차too)'!K5,INDEX('현대제조사탁송료(전기차too)'!K7:K16,AQ4),IF(AO8='현대제조사탁송료(전기차too)'!L5,INDEX('현대제조사탁송료(전기차too)'!L7:L16,AQ4),IF(AO8='현대제조사탁송료(전기차too)'!M5,INDEX('현대제조사탁송료(전기차too)'!M7:M16,AQ4),IF(AO8='현대제조사탁송료(전기차too)'!N5,INDEX('현대제조사탁송료(전기차too)'!N7:N16,AQ4))))))))))))))</f>
        <v>미반영</v>
      </c>
      <c r="AP9" s="1042" t="s">
        <v>51</v>
      </c>
      <c r="AQ9" s="614" t="b">
        <f>'현대제조사탁송료(전기차too)'!C24</f>
        <v>0</v>
      </c>
      <c r="AR9" s="70"/>
      <c r="AS9" s="1596" t="s">
        <v>190</v>
      </c>
      <c r="AT9" s="1596"/>
      <c r="AU9" s="422" t="b">
        <v>0</v>
      </c>
      <c r="AV9" s="85" t="s">
        <v>191</v>
      </c>
      <c r="AW9" s="118">
        <f>IF(AO4=2,0,AG16)</f>
        <v>0</v>
      </c>
      <c r="AX9" s="86" t="b">
        <v>0</v>
      </c>
      <c r="AY9" s="576">
        <f ca="1">VLOOKUP(AW4,렌터카모델!$D$2:$BQ$878,36,0)</f>
        <v>0</v>
      </c>
      <c r="AZ9" s="68"/>
      <c r="BA9" s="516">
        <v>48</v>
      </c>
      <c r="BB9" s="530">
        <v>20</v>
      </c>
      <c r="BC9" s="95" t="str">
        <f ca="1">IF(AW16="E","정비를선택해주세요!",IF($AW$13="d","베이직","수입차셀프"))</f>
        <v>베이직</v>
      </c>
      <c r="BD9" s="109" t="s">
        <v>192</v>
      </c>
      <c r="BE9" s="115" t="s">
        <v>193</v>
      </c>
      <c r="BF9" s="119">
        <f ca="1">IF(AW16="E",20000,ROUNDDOWN($AW$12*$AQ$21,-1))</f>
        <v>28760</v>
      </c>
      <c r="BG9" s="117">
        <f ca="1">ROUNDDOWN(BF9/12,-2)</f>
        <v>2300</v>
      </c>
      <c r="BH9" s="120"/>
      <c r="BI9" s="511" t="s">
        <v>194</v>
      </c>
      <c r="BJ9" s="511" t="b">
        <f>IF(BI12=2,IF(AND(BB25&gt;0,BB25&lt;0.005),0.001,IF(AND(BB25&gt;=0.005,BB25&lt;0.1),0.002,IF(AND(BB25&gt;=0.1,BB25&lt;0.2),0.004,IF(AND(BB25&gt;=0.2,BB25&lt;=0.301),0.01,IF(BB25&gt;0.301,"불가"))))))</f>
        <v>0</v>
      </c>
      <c r="BK9" s="511" t="s">
        <v>142</v>
      </c>
      <c r="BL9" s="267"/>
      <c r="BM9" s="267"/>
      <c r="BQ9" s="5" t="s">
        <v>195</v>
      </c>
      <c r="BR9" s="99">
        <v>0.4</v>
      </c>
      <c r="BS9" s="433"/>
    </row>
    <row r="10" spans="1:87" ht="24.95" customHeight="1" thickTop="1" thickBot="1">
      <c r="A10" s="446"/>
      <c r="B10" s="1613" t="s">
        <v>196</v>
      </c>
      <c r="C10" s="1613"/>
      <c r="D10" s="1614"/>
      <c r="E10" s="1589" t="str">
        <f>AN47</f>
        <v xml:space="preserve">      </v>
      </c>
      <c r="F10" s="1590"/>
      <c r="G10" s="1590"/>
      <c r="H10" s="1590"/>
      <c r="I10" s="1590"/>
      <c r="J10" s="1590"/>
      <c r="K10" s="1590"/>
      <c r="L10" s="1590"/>
      <c r="M10" s="1590"/>
      <c r="N10" s="1590"/>
      <c r="O10" s="1590"/>
      <c r="P10" s="1590"/>
      <c r="Q10" s="1590"/>
      <c r="R10" s="1590"/>
      <c r="S10" s="1590"/>
      <c r="T10" s="1590"/>
      <c r="U10" s="1590"/>
      <c r="V10" s="1590"/>
      <c r="W10" s="1590"/>
      <c r="X10" s="1590"/>
      <c r="Y10" s="1590"/>
      <c r="Z10" s="1591"/>
      <c r="AA10" s="628" t="s">
        <v>134</v>
      </c>
      <c r="AB10" s="1642">
        <f ca="1">IF(AU14=TRUE,AJ10,+AP2)</f>
        <v>41279787.335042253</v>
      </c>
      <c r="AC10" s="1643"/>
      <c r="AD10" s="616"/>
      <c r="AE10" s="1461"/>
      <c r="AF10" s="1142" t="str">
        <f>IF(AX9=FALSE,"배기량수정","배기량수정중")</f>
        <v>배기량수정</v>
      </c>
      <c r="AG10" s="1690"/>
      <c r="AH10" s="1690"/>
      <c r="AI10" s="621" t="str">
        <f>IF(AU14=FALSE,"면세가수정","면세수정중")</f>
        <v>면세가수정</v>
      </c>
      <c r="AJ10" s="629"/>
      <c r="AK10" s="935"/>
      <c r="AL10" s="932" t="s">
        <v>884</v>
      </c>
      <c r="AM10" s="791" t="s">
        <v>1170</v>
      </c>
      <c r="AN10" s="1039" t="b">
        <f>IF(AM22=1,TRUE,FALSE)</f>
        <v>0</v>
      </c>
      <c r="AO10" s="1040" t="b">
        <f ca="1">IF(AQ32="대상",FALSE,TRUE)</f>
        <v>1</v>
      </c>
      <c r="AP10" s="1043" t="s">
        <v>52</v>
      </c>
      <c r="AQ10" s="614" t="b">
        <f>'현대제조사탁송료(전기차too)'!C25</f>
        <v>0</v>
      </c>
      <c r="AR10" s="70"/>
      <c r="AS10" s="1111" t="s">
        <v>197</v>
      </c>
      <c r="AT10" s="1106" t="str">
        <f ca="1">IF(AY7=9,VLOOKUP(AW4,렌터카모델!M:X,12,FALSE),IF(LEFT(AW4,3)="캐스퍼","유림로지텍",VLOOKUP(AO8,주요기준!$G$4:$H$17,2,0)))</f>
        <v>유림로지텍</v>
      </c>
      <c r="AU10" s="121" t="b">
        <v>0</v>
      </c>
      <c r="AV10" s="85" t="s">
        <v>187</v>
      </c>
      <c r="AW10" s="118">
        <f>AW6+AW8</f>
        <v>43480000</v>
      </c>
      <c r="AX10" s="86"/>
      <c r="AY10" s="68"/>
      <c r="AZ10" s="68"/>
      <c r="BA10" s="516">
        <v>54</v>
      </c>
      <c r="BB10" s="530">
        <v>16</v>
      </c>
      <c r="BC10" s="95" t="str">
        <f ca="1">IF(AW16="E","정비를선택해주세요!",IF($AW$13="d","셀프","수입차셀프"))</f>
        <v>셀프</v>
      </c>
      <c r="BD10" s="109" t="s">
        <v>198</v>
      </c>
      <c r="BE10" s="115" t="s">
        <v>199</v>
      </c>
      <c r="BF10" s="116">
        <f ca="1">AT22</f>
        <v>647300</v>
      </c>
      <c r="BG10" s="117">
        <f ca="1">ROUNDDOWN(BF10/12,-2)</f>
        <v>53900</v>
      </c>
      <c r="BH10" s="68"/>
      <c r="BI10" s="511" t="s">
        <v>194</v>
      </c>
      <c r="BJ10" s="508" t="b">
        <f>IF(BI12=2,IF(AND(BB50&gt;0,BB50&lt;0.005),0.001,IF(AND(BB50&gt;=0.005,BB50&lt;0.1),0.002,IF(AND(BB50&gt;=0.1,BB50&lt;0.2),0.004,IF(AND(BB50&gt;=0.2,BB50&lt;=0.301),0.01,IF(BB50&gt;0.301,"불가"))))))</f>
        <v>0</v>
      </c>
      <c r="BK10" s="508" t="s">
        <v>200</v>
      </c>
      <c r="BL10" s="267"/>
      <c r="BM10" s="267"/>
      <c r="BQ10" s="5" t="s">
        <v>201</v>
      </c>
      <c r="BR10" s="122">
        <v>1</v>
      </c>
      <c r="BS10" s="434"/>
      <c r="CI10" t="s">
        <v>1921</v>
      </c>
    </row>
    <row r="11" spans="1:87" ht="24.95" customHeight="1" thickTop="1" thickBot="1">
      <c r="A11" s="446"/>
      <c r="B11" s="1682" t="str">
        <f>IF(렌터카모델!B2=6,"※ 르노코리아 차량은 실제 면세가격 확인 바랍니다!",IF(렌터카모델!B2=5,"※ 쉐보레 차량은 실제 면세가격 확인 바랍니다!",""))</f>
        <v/>
      </c>
      <c r="C11" s="1682"/>
      <c r="D11" s="1682"/>
      <c r="E11" s="1682"/>
      <c r="F11" s="1682"/>
      <c r="G11" s="1682"/>
      <c r="H11" s="1682"/>
      <c r="I11" s="1682"/>
      <c r="J11" s="1682"/>
      <c r="K11" s="1682"/>
      <c r="L11" s="1682"/>
      <c r="M11" s="1682"/>
      <c r="N11" s="1682"/>
      <c r="O11" s="1682"/>
      <c r="P11" s="1682"/>
      <c r="Q11" s="1682"/>
      <c r="R11" s="1682"/>
      <c r="S11" s="1682"/>
      <c r="T11" s="1682"/>
      <c r="U11" s="1682"/>
      <c r="V11" s="1682"/>
      <c r="W11" s="1682"/>
      <c r="X11" s="1682"/>
      <c r="Y11" s="1682"/>
      <c r="Z11" s="631"/>
      <c r="AA11" s="631"/>
      <c r="AB11" s="1626" t="str">
        <f>IF(AND(AO4=1,AG16&gt;0),"*제조사탁송료"&amp;" "&amp;AG16&amp;"원"," ")</f>
        <v xml:space="preserve"> </v>
      </c>
      <c r="AC11" s="1626"/>
      <c r="AD11" s="616"/>
      <c r="AE11" s="1461"/>
      <c r="AF11" s="1142" t="s">
        <v>1374</v>
      </c>
      <c r="AG11" s="1619">
        <f>IF(AO5=1,INDEX(렌터카모델!AF3:AF300,렌터카모델!D2),0)</f>
        <v>0</v>
      </c>
      <c r="AH11" s="1619"/>
      <c r="AI11" s="621" t="s">
        <v>936</v>
      </c>
      <c r="AJ11" s="632" t="str">
        <f>IF(AU10=TRUE,"직접입력▶",IF(AO5=2,"↙대리점할인 확인",IF(AND(AU10=TRUE,AK11="노란칸 입력"),"▶우측에 입력하세요!",IF(AO5=2,"",IF(AU10=TRUE,AK11,IF(AO5=2,"",IF(AO5=1,IF(INDEX(렌터카모델!AB3:AB147,렌터카모델!D2)&lt;1,IF(AW4="트래버스 2019년형 가솔린 3.6",ROUNDDOWN((INDEX(렌터카모델!AB3:AB147,렌터카모델!D2)*AB10),-3),(INDEX(렌터카모델!AB3:AB147,렌터카모델!D2))*AB10+AG11))))))+IF(AW5=" 【'22년출고限】 캐스퍼 가솔린 1.0 (추가할인) ",AB10*2%,0))))</f>
        <v>↙대리점할인 확인</v>
      </c>
      <c r="AK11" s="633"/>
      <c r="AL11" s="932"/>
      <c r="AM11" s="791" t="s">
        <v>1200</v>
      </c>
      <c r="AN11" s="1039" t="b">
        <f>IF(OR(AO4=4,AO4=5,AO4=6,AO4=2),TRUE,FALSE)</f>
        <v>0</v>
      </c>
      <c r="AO11" s="1041" t="b">
        <f ca="1">IF(AND(AN10=TRUE,AO10=TRUE),TRUE,FALSE)</f>
        <v>0</v>
      </c>
      <c r="AP11" s="1043" t="s">
        <v>53</v>
      </c>
      <c r="AQ11" s="614" t="b">
        <f>'현대제조사탁송료(전기차too)'!C26</f>
        <v>0</v>
      </c>
      <c r="AR11" s="70"/>
      <c r="AS11" s="1110" t="s">
        <v>204</v>
      </c>
      <c r="AT11" s="1107">
        <v>1</v>
      </c>
      <c r="AU11" s="123" t="b">
        <v>1</v>
      </c>
      <c r="AV11" s="85" t="s">
        <v>205</v>
      </c>
      <c r="AW11" s="118">
        <f ca="1">AW6+AW8+IF(AW13="D",AW9,0)-AW7</f>
        <v>43480000</v>
      </c>
      <c r="AX11" s="124" t="s">
        <v>206</v>
      </c>
      <c r="AY11" s="74"/>
      <c r="AZ11" s="68"/>
      <c r="BA11" s="516">
        <v>60</v>
      </c>
      <c r="BB11" s="530">
        <v>16</v>
      </c>
      <c r="BC11" s="95" t="str">
        <f ca="1">IF(AW16="E","e-Basic",IF($AW$13="d","정비를선택해주세요!"))</f>
        <v>정비를선택해주세요!</v>
      </c>
      <c r="BD11" s="128" t="s">
        <v>210</v>
      </c>
      <c r="BE11" s="115" t="s">
        <v>207</v>
      </c>
      <c r="BF11" s="116">
        <f ca="1">$AO$33</f>
        <v>300216.63199999998</v>
      </c>
      <c r="BG11" s="117">
        <v>0</v>
      </c>
      <c r="BH11" s="68"/>
      <c r="BI11" s="513"/>
      <c r="BJ11" s="1583" t="s">
        <v>142</v>
      </c>
      <c r="BK11" s="1583"/>
      <c r="BL11" s="1584" t="s">
        <v>200</v>
      </c>
      <c r="BM11" s="1584"/>
    </row>
    <row r="12" spans="1:87" ht="24" customHeight="1" thickTop="1" thickBot="1">
      <c r="A12" s="446"/>
      <c r="B12" s="942"/>
      <c r="C12" s="634"/>
      <c r="D12" s="635"/>
      <c r="E12" s="635"/>
      <c r="F12" s="1585" t="str">
        <f ca="1">IF(AG24="미운영","고잔가 미운영",IF(F14&gt;BG47,"",IF(BI12=2,"",IFERROR(IF(AND(IF(OR(BI12=1,BI12=3,BI12=4),F14&lt;BG57,AW16="E")),"↓최저잔가 미만입니다. 잔가를 높여주세요!",IF(AND(AW16="E",IF(OR(BI12=1,BI12=3),F14&gt;=BG57)),"",IF(OR(AW16="M",AW16="L",AW16="D",AW16="N",AW16="P",AW16="G",AW16="T",AW16="R",AW16="V"),IF(AND(IF(OR(BI12=1,BI12=3,BI12=4),F14&lt;BG47)),"↓최저잔가 미만입니다. 잔가를 높여주세요!","")))),""))))</f>
        <v/>
      </c>
      <c r="G12" s="1585"/>
      <c r="H12" s="1585"/>
      <c r="I12" s="1585"/>
      <c r="J12" s="1585"/>
      <c r="K12" s="1585"/>
      <c r="L12" s="1585"/>
      <c r="M12" s="1585"/>
      <c r="N12" s="1585"/>
      <c r="O12" s="636"/>
      <c r="P12" s="1585" t="str">
        <f ca="1">IF(AND(고객용견적!AE6=TRUE,AI24="미운영"),"고잔가 미운영",IF(P14&gt;BG58,"",IF(BI12=2,"",IF(고객용견적!AE6=FALSE,"",IFERROR(IF(AND(고객용견적!AE6=TRUE,AW16="E",IF(OR(BI12=1,BI12=3),P14&lt;BG58)),"↓최저잔가 미만입니다. 잔가를 높여주세요!",IF(AND(AW16="E",고객용견적!AE6=TRUE,IF(OR(BI12=1,BI12=3),P14&gt;=BG58)),"",IF(OR(AW16="M",AW16="L",AW16="D",AW16="N",AW16="P",AW16="G",AW16="T",AW16="R",AW16="V"),IF(AND(고객용견적!AE6=TRUE,IF(OR(BI12=1,BI12=3,BI12=4),P14&lt;BG48)),"↓최저잔가 미만입니다. 잔가를 높여주세요!","")))),"")))))</f>
        <v/>
      </c>
      <c r="Q12" s="1585"/>
      <c r="R12" s="1585"/>
      <c r="S12" s="1585"/>
      <c r="T12" s="1585"/>
      <c r="U12" s="1585"/>
      <c r="V12" s="1585"/>
      <c r="W12" s="1585"/>
      <c r="X12" s="1585"/>
      <c r="Y12" s="1585"/>
      <c r="Z12" s="1585" t="str">
        <f ca="1">IF(AND(고객용견적!AE7=TRUE,AJ24="미운영"),"고잔가 미운영",IF(AA14&gt;BG59,"",IF(BI12=2,"",IF(고객용견적!AE7=FALSE,"",IFERROR(IF(AND(고객용견적!AE7=TRUE,AW16="E",IF(OR(BI12=1,BI12=3),AA14&lt;BG59)),"↓최저잔가 미만입니다. 잔가를 높여주세요!",IF(AND(AW16="E",고객용견적!AE7=TRUE,IF(OR(BI12=1,BI12=3),AA14&gt;=BG59)),"",IF(OR(AW16="M",AW16="L",AW16="D",AW16="N",AW16="P",AW16="G",AW16="T",AW16="V",AW16="R",AW16="V"),IF(AND(고객용견적!AE7=TRUE,IF(OR(BI12=1,BI12=3,BI12=4),AA14&lt;BG49)),"↓최저잔가 미만입니다. 잔가를 높여주세요!","")))),"")))))</f>
        <v/>
      </c>
      <c r="AA12" s="1585"/>
      <c r="AB12" s="1585"/>
      <c r="AC12" s="1585"/>
      <c r="AD12" s="616"/>
      <c r="AE12" s="1461"/>
      <c r="AF12" s="1142" t="s">
        <v>202</v>
      </c>
      <c r="AG12" s="1582">
        <v>0</v>
      </c>
      <c r="AH12" s="1582"/>
      <c r="AI12" s="621" t="s">
        <v>203</v>
      </c>
      <c r="AJ12" s="637"/>
      <c r="AK12" s="935"/>
      <c r="AL12" s="932"/>
      <c r="AM12" s="986"/>
      <c r="AN12" s="1039" t="b">
        <f>IF(AO17=1,TRUE,FALSE)</f>
        <v>0</v>
      </c>
      <c r="AO12" s="1041" t="b">
        <f ca="1">IF(AND(AO11=TRUE,고객용견적!AE6=TRUE),TRUE,FALSE)</f>
        <v>0</v>
      </c>
      <c r="AP12" s="1043" t="s">
        <v>54</v>
      </c>
      <c r="AQ12" s="614" t="b">
        <f>'현대제조사탁송료(전기차too)'!C27</f>
        <v>0</v>
      </c>
      <c r="AR12" s="70"/>
      <c r="AS12" s="453" t="str">
        <f ca="1">IF(AO5=2,INDEX(AT12:AT13,AT11),"")</f>
        <v>오토클릭</v>
      </c>
      <c r="AT12" s="1109" t="str">
        <f ca="1">IF(AND(AO5=2,AO4=1,AW16="E",AT10="유림로지텍"),"유림",IF(AND(AO5=2,AO4=1,AW16="E",AT10="HL홀딩스"),"선택불가",IF(AND(AO5=2,AO4=3,AT10="유림로지텍"),"유림",IF(AND(AO5=2,AO4=3,AT10="HL홀딩스"),"선택불가",IF(AND(AO5=2,AO4=1),"오토클릭",IF(AO5=1,"선택불가","선택불가"))))))</f>
        <v>오토클릭</v>
      </c>
      <c r="AU12" s="125" t="b">
        <v>0</v>
      </c>
      <c r="AV12" s="85" t="s">
        <v>208</v>
      </c>
      <c r="AW12" s="126">
        <f ca="1">IF(AX9=TRUE,AG10,INDEX(렌터카모델!O3:O147,렌터카모델!D2))</f>
        <v>1598</v>
      </c>
      <c r="AX12" s="1453" t="str">
        <f ca="1">IF(AW16="E","면세",IF(OR(AW17&gt;=9,AW12&lt;1000,AW13="I",AW16="R"),"과세","면세"))</f>
        <v>면세</v>
      </c>
      <c r="AY12" s="68"/>
      <c r="AZ12" s="68"/>
      <c r="BA12" s="1065" t="s">
        <v>209</v>
      </c>
      <c r="BB12" s="1066">
        <v>2</v>
      </c>
      <c r="BC12" s="127" t="str">
        <f ca="1">IF(AW16="E","e-Self",IF($AW$13="d","정비를선택해주세요!"))</f>
        <v>정비를선택해주세요!</v>
      </c>
      <c r="BD12" s="128"/>
      <c r="BE12" s="115" t="s">
        <v>211</v>
      </c>
      <c r="BF12" s="119">
        <f ca="1">IF(AW13="D",정비!BQ27,정비!Z3)</f>
        <v>4666.666666666667</v>
      </c>
      <c r="BG12" s="117">
        <f ca="1">ROUNDDOWN((BF11/12)+BF12,-2)</f>
        <v>29600</v>
      </c>
      <c r="BH12" s="68"/>
      <c r="BI12" s="535">
        <v>1</v>
      </c>
      <c r="BJ12" s="470" t="s">
        <v>212</v>
      </c>
      <c r="BK12" s="470" t="s">
        <v>213</v>
      </c>
      <c r="BL12" s="534" t="s">
        <v>212</v>
      </c>
      <c r="BM12" s="534" t="s">
        <v>213</v>
      </c>
      <c r="BQ12" s="1576" t="s">
        <v>214</v>
      </c>
      <c r="BR12" s="1576"/>
      <c r="BS12" s="428"/>
    </row>
    <row r="13" spans="1:87" ht="24.95" customHeight="1" thickTop="1" thickBot="1">
      <c r="A13" s="448"/>
      <c r="B13" s="1615" t="s">
        <v>215</v>
      </c>
      <c r="C13" s="1615"/>
      <c r="D13" s="1615"/>
      <c r="E13" s="1616"/>
      <c r="F13" s="1484"/>
      <c r="G13" s="1484"/>
      <c r="H13" s="1484"/>
      <c r="I13" s="1484"/>
      <c r="J13" s="1577">
        <f>BB4</f>
        <v>36</v>
      </c>
      <c r="K13" s="1577"/>
      <c r="L13" s="1577"/>
      <c r="M13" s="1577"/>
      <c r="N13" s="1577"/>
      <c r="O13" s="638" t="s">
        <v>216</v>
      </c>
      <c r="P13" s="1578" t="s">
        <v>137</v>
      </c>
      <c r="Q13" s="1579"/>
      <c r="R13" s="1579"/>
      <c r="S13" s="1579"/>
      <c r="T13" s="1580" t="str">
        <f>IF(BJ4=5,J13,IF(고객용견적!AE6=FALSE,"",BB29))</f>
        <v/>
      </c>
      <c r="U13" s="1580"/>
      <c r="V13" s="1580"/>
      <c r="W13" s="1580"/>
      <c r="X13" s="1580"/>
      <c r="Y13" s="639" t="s">
        <v>216</v>
      </c>
      <c r="Z13" s="640"/>
      <c r="AA13" s="641"/>
      <c r="AB13" s="642" t="str">
        <f>IF(BJ4=5,J13,IF(고객용견적!AE7=FALSE,"",BB68))</f>
        <v/>
      </c>
      <c r="AC13" s="641" t="s">
        <v>216</v>
      </c>
      <c r="AD13" s="616"/>
      <c r="AE13" s="1174" t="s">
        <v>1326</v>
      </c>
      <c r="AF13" s="1142" t="s">
        <v>863</v>
      </c>
      <c r="AG13" s="1677"/>
      <c r="AH13" s="1678"/>
      <c r="AI13" s="1678"/>
      <c r="AJ13" s="1679"/>
      <c r="AK13" s="935"/>
      <c r="AL13" s="943"/>
      <c r="AM13" s="986"/>
      <c r="AN13" s="1039" t="b">
        <f>IF(AND(AQ26=1,AT4=1),TRUE,FALSE)</f>
        <v>0</v>
      </c>
      <c r="AO13" s="1267" t="b">
        <f ca="1">IF(AW16="e",TRUE,FALSE)</f>
        <v>0</v>
      </c>
      <c r="AP13" s="1042" t="s">
        <v>55</v>
      </c>
      <c r="AQ13" s="614" t="b">
        <f>'현대제조사탁송료(전기차too)'!C28</f>
        <v>0</v>
      </c>
      <c r="AR13" s="70"/>
      <c r="AS13" s="71"/>
      <c r="AT13" s="1109" t="str">
        <f ca="1">IF(AND(AO5=2,AO4=1,AW16="E",AT10="HL홀딩스"),"HL홀딩스",IF(AND(AO5=2,AO4=3,AT10="HL홀딩스"),"HL홀딩스",IF(AO5=1,"선택불가","선택불가")))</f>
        <v>선택불가</v>
      </c>
      <c r="AU13" s="129"/>
      <c r="AV13" s="85" t="s">
        <v>217</v>
      </c>
      <c r="AW13" s="118" t="str">
        <f ca="1">INDEX(렌터카모델!Y3:Y147,렌터카모델!D2)</f>
        <v>D</v>
      </c>
      <c r="AX13" s="86"/>
      <c r="AY13" s="577">
        <f ca="1">ROUNDDOWN(AX28*4%,-1)</f>
        <v>1501080</v>
      </c>
      <c r="AZ13" s="68"/>
      <c r="BA13" s="1067" t="s">
        <v>879</v>
      </c>
      <c r="BB13" s="519"/>
      <c r="BC13" s="95" t="str">
        <f ca="1">BB4&amp;INDEX(BC5:BC12,BC4)</f>
        <v>36셀프</v>
      </c>
      <c r="BD13" s="131"/>
      <c r="BE13" s="115" t="s">
        <v>218</v>
      </c>
      <c r="BF13" s="119">
        <v>0</v>
      </c>
      <c r="BG13" s="117">
        <f>ROUNDDOWN(BF13/12,-2)</f>
        <v>0</v>
      </c>
      <c r="BH13" s="68"/>
      <c r="BI13" s="536" t="s">
        <v>219</v>
      </c>
      <c r="BJ13" s="501">
        <f ca="1">INDEX(렌터카모델!AG3:AG147,렌터카모델!D2)</f>
        <v>6.8000000000000005E-2</v>
      </c>
      <c r="BK13" s="501">
        <f ca="1">INDEX(렌터카모델!AH3:AH147,렌터카모델!D2)</f>
        <v>6.1000000000000006E-2</v>
      </c>
      <c r="BL13" s="534">
        <f ca="1">INDEX(렌터카모델!AG3:AG147,렌터카모델!D2)</f>
        <v>6.8000000000000005E-2</v>
      </c>
      <c r="BM13" s="534">
        <f ca="1">INDEX(렌터카모델!AH3:AH147,렌터카모델!D2)</f>
        <v>6.1000000000000006E-2</v>
      </c>
    </row>
    <row r="14" spans="1:87" ht="24.95" customHeight="1" thickTop="1" thickBot="1">
      <c r="A14" s="448"/>
      <c r="B14" s="1683" t="s">
        <v>220</v>
      </c>
      <c r="C14" s="1683"/>
      <c r="D14" s="1683"/>
      <c r="E14" s="643"/>
      <c r="F14" s="1588">
        <f ca="1">IF(AG24="미운영","미운영",IF(AG24="무제한 불가","미운영",IF(AG24=FALSE,"FALSE",IF(AG25&gt;AG24,AG24,AG25))))</f>
        <v>0.6</v>
      </c>
      <c r="G14" s="1588"/>
      <c r="H14" s="1588"/>
      <c r="I14" s="1588"/>
      <c r="J14" s="1684">
        <f ca="1">BB18</f>
        <v>26092000</v>
      </c>
      <c r="K14" s="1684"/>
      <c r="L14" s="1684"/>
      <c r="M14" s="1684"/>
      <c r="N14" s="1684"/>
      <c r="O14" s="644" t="s">
        <v>221</v>
      </c>
      <c r="P14" s="1680" t="str">
        <f>IF(고객용견적!AE6=FALSE,"",IF(AI24="미운영","미운영",IF(AI24="무제한 불가","미운영",IF(BJ4=5,J13,IF(고객용견적!AE6=FALSE,"",AI25)))))</f>
        <v/>
      </c>
      <c r="Q14" s="1681"/>
      <c r="R14" s="1681"/>
      <c r="S14" s="1681"/>
      <c r="T14" s="1612" t="str">
        <f>IF(BJ4=5,J14,IF(고객용견적!AE6=FALSE,"",BB43))</f>
        <v/>
      </c>
      <c r="U14" s="1612"/>
      <c r="V14" s="1612"/>
      <c r="W14" s="1612"/>
      <c r="X14" s="1612"/>
      <c r="Y14" s="645" t="s">
        <v>221</v>
      </c>
      <c r="Z14" s="640"/>
      <c r="AA14" s="646" t="str">
        <f>IF(고객용견적!AE7=FALSE,"",IF(AJ24="미운영","미운영",IF(AJ24="무제한 불가","미운영",+AJ25)))</f>
        <v/>
      </c>
      <c r="AB14" s="647" t="str">
        <f>IF(BJ4=5,J14,IF(고객용견적!AE7=FALSE,"",BB82))</f>
        <v/>
      </c>
      <c r="AC14" s="640" t="s">
        <v>221</v>
      </c>
      <c r="AD14" s="616"/>
      <c r="AE14" s="1461" t="s">
        <v>1327</v>
      </c>
      <c r="AF14" s="1586" t="str">
        <f ca="1">IF(LEFT(AW5,3)="캐스퍼","▼ 본사출고 【아산탁송】 선택!",IF(OR(AND(AO8="03:울산대형",AO5=1),AND(AO8="02:울산",AO5=1)),"▼ 칠곡탁송 OR 파츠탁송",IF(AND(AO5=1,AO8="01:아산"),"▼외주탁송 OR 파츠탁송",IF(AND(AO5=2,OR(AO4=2,AO4=4,AO4=5,AO4=6)),"▼ 외주,칠곡,아산,파츠탁송 선택불가",""))))</f>
        <v/>
      </c>
      <c r="AG14" s="1587"/>
      <c r="AH14" s="1587"/>
      <c r="AI14" s="648" t="s">
        <v>838</v>
      </c>
      <c r="AJ14" s="649"/>
      <c r="AK14" s="935"/>
      <c r="AL14" s="943"/>
      <c r="AM14" s="986"/>
      <c r="AN14" s="1268" t="b">
        <f>IF(OR(AO22=2,AO22=3),TRUE,FALSE)</f>
        <v>0</v>
      </c>
      <c r="AO14" s="1269" t="b">
        <f ca="1">IF(AW16="e",FALSE,TRUE)</f>
        <v>1</v>
      </c>
      <c r="AP14" s="1044" t="s">
        <v>56</v>
      </c>
      <c r="AQ14" s="650" t="b">
        <f>'현대제조사탁송료(전기차too)'!C29</f>
        <v>0</v>
      </c>
      <c r="AR14" s="70"/>
      <c r="AS14" s="132" t="s">
        <v>222</v>
      </c>
      <c r="AT14" s="1108">
        <v>5</v>
      </c>
      <c r="AU14" s="133" t="b">
        <v>0</v>
      </c>
      <c r="AV14" s="85" t="s">
        <v>223</v>
      </c>
      <c r="AW14" s="118" t="str">
        <f ca="1">INDEX(렌터카모델!AA3:AA200,렌터카모델!D2)</f>
        <v>전략</v>
      </c>
      <c r="AX14" s="86"/>
      <c r="AY14" s="578">
        <f ca="1">AY13-1400000</f>
        <v>101080</v>
      </c>
      <c r="AZ14" s="68"/>
      <c r="BA14" s="1067" t="s">
        <v>880</v>
      </c>
      <c r="BB14" s="519">
        <f ca="1">IFERROR(VLOOKUP(LEFT(INDEX(렌터카모델!T3:T147,렌터카모델!D2),1),#REF!,2,0),0)</f>
        <v>0</v>
      </c>
      <c r="BC14" s="135"/>
      <c r="BD14" s="136" t="s">
        <v>224</v>
      </c>
      <c r="BE14" s="137"/>
      <c r="BF14" s="138"/>
      <c r="BG14" s="139">
        <f ca="1">BG5*0.1</f>
        <v>75550</v>
      </c>
      <c r="BH14" s="68"/>
      <c r="BI14" s="536" t="s">
        <v>225</v>
      </c>
      <c r="BJ14" s="537">
        <f ca="1">IF(BJ16="미적용",BJ15,BJ16)</f>
        <v>6.8000000000000005E-2</v>
      </c>
      <c r="BK14" s="537">
        <f ca="1">IF(BK16="미적용",BK15,BK16)</f>
        <v>6.1000000000000006E-2</v>
      </c>
      <c r="BL14" s="538">
        <f ca="1">IF(BL16="미적용",BL15,BL16)</f>
        <v>6.8000000000000005E-2</v>
      </c>
      <c r="BM14" s="534">
        <f ca="1">IF(BM16="미적용",BM15,BM16)</f>
        <v>6.1000000000000006E-2</v>
      </c>
    </row>
    <row r="15" spans="1:87" ht="24.95" customHeight="1" thickBot="1">
      <c r="A15" s="448"/>
      <c r="B15" s="1465" t="s">
        <v>226</v>
      </c>
      <c r="C15" s="1465"/>
      <c r="D15" s="1465"/>
      <c r="E15" s="1466"/>
      <c r="F15" s="1474"/>
      <c r="G15" s="1474"/>
      <c r="H15" s="1474"/>
      <c r="I15" s="1474"/>
      <c r="J15" s="1475">
        <f>J16+J17</f>
        <v>10000000</v>
      </c>
      <c r="K15" s="1475"/>
      <c r="L15" s="1475"/>
      <c r="M15" s="1475"/>
      <c r="N15" s="1475"/>
      <c r="O15" s="651" t="s">
        <v>221</v>
      </c>
      <c r="P15" s="1610"/>
      <c r="Q15" s="1611"/>
      <c r="R15" s="1611"/>
      <c r="S15" s="1611"/>
      <c r="T15" s="1612" t="str">
        <f>IF(BJ4=5,J15,IF(고객용견적!AE6=FALSE,"",T16+T17))</f>
        <v/>
      </c>
      <c r="U15" s="1612"/>
      <c r="V15" s="1612"/>
      <c r="W15" s="1612"/>
      <c r="X15" s="1612"/>
      <c r="Y15" s="652" t="s">
        <v>221</v>
      </c>
      <c r="Z15" s="653"/>
      <c r="AA15" s="653"/>
      <c r="AB15" s="654" t="str">
        <f>IF(BJ4=5,J15,IF(고객용견적!AE7=FALSE,"",AB16+AB17))</f>
        <v/>
      </c>
      <c r="AC15" s="653" t="s">
        <v>221</v>
      </c>
      <c r="AD15" s="616"/>
      <c r="AE15" s="1461"/>
      <c r="AF15" s="1142" t="s">
        <v>146</v>
      </c>
      <c r="AG15" s="1581"/>
      <c r="AH15" s="1581"/>
      <c r="AI15" s="621" t="s">
        <v>940</v>
      </c>
      <c r="AJ15" s="655" t="str">
        <f>IF(AND(AO4=1,AO5=2),"외주탁송사없음",IF(AND(AO3=4,AO4=1),"오토클릭",IF(AW13="I","오토클릭",IF(AO5=2,"",AT10))))</f>
        <v>외주탁송사없음</v>
      </c>
      <c r="AK15" s="935"/>
      <c r="AL15" s="932"/>
      <c r="AM15" s="986"/>
      <c r="AN15" s="1364" t="b">
        <v>1</v>
      </c>
      <c r="AO15" s="1270" t="b">
        <v>0</v>
      </c>
      <c r="AP15" s="656"/>
      <c r="AQ15" s="657" t="str">
        <f>IF(AE7=TRUE,렌터카견적내기!AB16,IF(AE6=FALSE,J16,T16))</f>
        <v/>
      </c>
      <c r="AR15" s="70"/>
      <c r="AS15" s="140" t="str">
        <f ca="1">IF(AW16="E",INDEX(AT15:AT20,AT14),"")</f>
        <v/>
      </c>
      <c r="AT15" s="141" t="str">
        <f ca="1">IF(AW16="e","서울","해당사항 없음")</f>
        <v>해당사항 없음</v>
      </c>
      <c r="AU15" s="142" t="b">
        <f>IF(AND(렌터카모델!B2=6,AO5=2),TRUE,IF(AND(렌터카모델!B2=5,AO5=2),TRUE,FALSE))</f>
        <v>0</v>
      </c>
      <c r="AV15" s="85" t="s">
        <v>227</v>
      </c>
      <c r="AW15" s="118" t="str">
        <f ca="1">INDEX(렌터카모델!V3:V200,렌터카모델!D2)</f>
        <v>2급</v>
      </c>
      <c r="AX15" s="86"/>
      <c r="AY15" s="577">
        <f ca="1">AY13-900000</f>
        <v>601080</v>
      </c>
      <c r="AZ15" s="68"/>
      <c r="BA15" s="1067" t="s">
        <v>881</v>
      </c>
      <c r="BB15" s="519">
        <f ca="1">IFERROR(VLOOKUP(LEFT(INDEX(렌터카모델!T3:T147,렌터카모델!D2),1),#REF!,2,0),0)</f>
        <v>0</v>
      </c>
      <c r="BC15" s="135"/>
      <c r="BD15" s="136" t="s">
        <v>228</v>
      </c>
      <c r="BE15" s="137"/>
      <c r="BF15" s="138"/>
      <c r="BG15" s="139">
        <f ca="1">BG5+BG14</f>
        <v>831050</v>
      </c>
      <c r="BH15" s="68"/>
      <c r="BI15" s="536" t="s">
        <v>948</v>
      </c>
      <c r="BJ15" s="502">
        <f ca="1">+BJ13+BL27+IF(BL27="0",BL28,"0")</f>
        <v>6.8000000000000005E-2</v>
      </c>
      <c r="BK15" s="502">
        <f ca="1">+BK13+BL27+IF(BL27="0",BL28,"0")</f>
        <v>6.1000000000000006E-2</v>
      </c>
      <c r="BL15" s="534">
        <f ca="1">+BL13+BM27+IF(BM27="0",BL28,"0")</f>
        <v>6.8000000000000005E-2</v>
      </c>
      <c r="BM15" s="534">
        <f ca="1">+BM13+BM27+IF(BM27="0",BL28,"0")</f>
        <v>6.1000000000000006E-2</v>
      </c>
      <c r="BQ15" s="436" t="s">
        <v>893</v>
      </c>
      <c r="BR15" s="437">
        <f>+AB9</f>
        <v>43480000</v>
      </c>
      <c r="BS15" s="432"/>
      <c r="BT15" s="435">
        <f>IF(BR15&gt;=150000000,1,IF(BR15&gt;=100000000,2,IF(BR15&gt;=50000000,3,4)))</f>
        <v>4</v>
      </c>
    </row>
    <row r="16" spans="1:87" ht="24.95" customHeight="1" thickTop="1" thickBot="1">
      <c r="A16" s="448"/>
      <c r="B16" s="658"/>
      <c r="C16" s="1691" t="s">
        <v>229</v>
      </c>
      <c r="D16" s="1692"/>
      <c r="E16" s="1693"/>
      <c r="F16" s="1685">
        <f>IF(BC17=FALSE,AG26/100,AG26/AB9)</f>
        <v>0</v>
      </c>
      <c r="G16" s="1686"/>
      <c r="H16" s="1686"/>
      <c r="I16" s="1686"/>
      <c r="J16" s="1687">
        <f>F16*AB9</f>
        <v>0</v>
      </c>
      <c r="K16" s="1687"/>
      <c r="L16" s="1687"/>
      <c r="M16" s="1687"/>
      <c r="N16" s="1687"/>
      <c r="O16" s="659" t="s">
        <v>221</v>
      </c>
      <c r="P16" s="1671" t="str">
        <f>IF(BJ4=5,F16,IF(고객용견적!AE6=FALSE,"",IF(BC17=FALSE,AI26/100,AI26/AB9)))</f>
        <v/>
      </c>
      <c r="Q16" s="1672"/>
      <c r="R16" s="1672"/>
      <c r="S16" s="1672"/>
      <c r="T16" s="1669" t="str">
        <f>IF(BJ4=5,J16,IF(고객용견적!AE6=FALSE,"",ROUNDUP(P16*AB9,-4)))</f>
        <v/>
      </c>
      <c r="U16" s="1669"/>
      <c r="V16" s="1669"/>
      <c r="W16" s="1669"/>
      <c r="X16" s="1669"/>
      <c r="Y16" s="645" t="s">
        <v>221</v>
      </c>
      <c r="Z16" s="640"/>
      <c r="AA16" s="660" t="str">
        <f>IF(BJ4=5,F16,IF(고객용견적!AE7=FALSE,"",IF(BC17=FALSE,AJ26/100,AJ26/AB9)))</f>
        <v/>
      </c>
      <c r="AB16" s="647" t="str">
        <f>IF(BJ4=5,J16,IF(고객용견적!AE7=FALSE,"",ROUNDUP(AB9*AA16,-4)))</f>
        <v/>
      </c>
      <c r="AC16" s="640" t="s">
        <v>221</v>
      </c>
      <c r="AD16" s="616"/>
      <c r="AE16" s="1461"/>
      <c r="AF16" s="1160" t="str">
        <f>IF(AO4=3,"추가탁송료(합계)",IF(AO4&gt;6,"추가탁송료(합계)",IF(AND(AO5=2,AO4=1),"제조사탁송료","")))</f>
        <v>제조사탁송료</v>
      </c>
      <c r="AG16" s="1574">
        <v>0</v>
      </c>
      <c r="AH16" s="1574"/>
      <c r="AI16" s="1161" t="s">
        <v>983</v>
      </c>
      <c r="AJ16" s="1162"/>
      <c r="AK16" s="935"/>
      <c r="AL16" s="932"/>
      <c r="AM16" s="986"/>
      <c r="AN16" s="617" t="s">
        <v>231</v>
      </c>
      <c r="AO16" s="617"/>
      <c r="AP16" s="617"/>
      <c r="AQ16" s="617"/>
      <c r="AR16" s="70"/>
      <c r="AS16" s="100"/>
      <c r="AT16" s="141" t="str">
        <f ca="1">IF(AW16="e","인천","해당사항 없음")</f>
        <v>해당사항 없음</v>
      </c>
      <c r="AU16" s="143" t="b">
        <f ca="1">IF(AW16="E",TRUE,FALSE)</f>
        <v>0</v>
      </c>
      <c r="AV16" s="85" t="s">
        <v>232</v>
      </c>
      <c r="AW16" s="1053" t="str">
        <f ca="1">INDEX(렌터카모델!P3:P200,렌터카모델!D2)</f>
        <v>M</v>
      </c>
      <c r="AX16" s="86"/>
      <c r="AZ16" s="68"/>
      <c r="BA16" s="1067" t="s">
        <v>882</v>
      </c>
      <c r="BB16" s="519"/>
      <c r="BC16" s="67"/>
      <c r="BD16" s="136" t="s">
        <v>233</v>
      </c>
      <c r="BE16" s="137"/>
      <c r="BF16" s="145">
        <f>BB20</f>
        <v>10000000</v>
      </c>
      <c r="BG16" s="146">
        <f>BF16/BB4</f>
        <v>277777.77777777775</v>
      </c>
      <c r="BH16" s="68"/>
      <c r="BI16" s="536" t="s">
        <v>949</v>
      </c>
      <c r="BJ16" s="503" t="str">
        <f>IF(AND(BL29="미적용",BL30="미적용"),"미적용","0.099")</f>
        <v>미적용</v>
      </c>
      <c r="BK16" s="503" t="str">
        <f>IF(AND(BL29="미적용",BL30="미적용"),"미적용","0.076")</f>
        <v>미적용</v>
      </c>
      <c r="BL16" s="534" t="str">
        <f>IF(AND(BL29="미적용",BL30="미적용"),"미적용","0.099")</f>
        <v>미적용</v>
      </c>
      <c r="BM16" s="534" t="str">
        <f>IF(AND(BL29="미적용",BL30="미적용"),"미적용","0.076")</f>
        <v>미적용</v>
      </c>
      <c r="BP16" s="1517" t="s">
        <v>8</v>
      </c>
      <c r="BQ16" s="1517"/>
      <c r="BR16" s="1517" t="s">
        <v>886</v>
      </c>
      <c r="BS16" s="1517"/>
      <c r="BT16" s="1517"/>
    </row>
    <row r="17" spans="1:72" ht="24.95" customHeight="1" thickBot="1">
      <c r="A17" s="448"/>
      <c r="B17" s="661"/>
      <c r="C17" s="1606" t="s">
        <v>596</v>
      </c>
      <c r="D17" s="1607"/>
      <c r="E17" s="1608"/>
      <c r="F17" s="1483">
        <f>BB21</f>
        <v>0.22999080036798528</v>
      </c>
      <c r="G17" s="1483"/>
      <c r="H17" s="1483"/>
      <c r="I17" s="1483"/>
      <c r="J17" s="1484">
        <f>BB20</f>
        <v>10000000</v>
      </c>
      <c r="K17" s="1484"/>
      <c r="L17" s="1484"/>
      <c r="M17" s="1484"/>
      <c r="N17" s="1484"/>
      <c r="O17" s="638" t="s">
        <v>221</v>
      </c>
      <c r="P17" s="1609" t="str">
        <f>IF(BJ4=5,F17,IF(고객용견적!AE6=FALSE,"",BB46))</f>
        <v/>
      </c>
      <c r="Q17" s="1483"/>
      <c r="R17" s="1483"/>
      <c r="S17" s="1483"/>
      <c r="T17" s="1579" t="str">
        <f>IF(BJ4=5,J17,IF(고객용견적!AE6=FALSE,"",BB45))</f>
        <v/>
      </c>
      <c r="U17" s="1579"/>
      <c r="V17" s="1579"/>
      <c r="W17" s="1579"/>
      <c r="X17" s="1579"/>
      <c r="Y17" s="639" t="s">
        <v>221</v>
      </c>
      <c r="Z17" s="640"/>
      <c r="AA17" s="660" t="str">
        <f>IF(BJ4=5,F17,IF(고객용견적!AE7=FALSE,"",BB85))</f>
        <v/>
      </c>
      <c r="AB17" s="647" t="str">
        <f>IF(BJ4=5,J17,IF(고객용견적!AE7=FALSE,"",BB84))</f>
        <v/>
      </c>
      <c r="AC17" s="640" t="s">
        <v>221</v>
      </c>
      <c r="AD17" s="616"/>
      <c r="AE17" s="1461"/>
      <c r="AF17" s="1603" t="str">
        <f ca="1">IF(AND(렌터카모델!B2=9,AO5=2),"선구매는 본사출고만 가능합니다.",IF(AND(LEFT(AW5,3)="캐스퍼",AO5=2),"캐스퍼는 본사출고만 가능합니다.",IF(LEFT(AW5,3)="캐스퍼","약정▶ '복합탁송' 제조사탁송료[128,000원]"&amp;"]",IF(OR(AND(AO8="03:울산대형",AO5=1),AND(AO8="02:울산",AO5=1)),"본사출고(칠곡탁송 대상)",IF(AND(AO5=1,AO8="01:아산"),"(칠곡탁송 대상차종이 아닙니다!) ",""))&amp;""&amp;IF(AND(AO5=1,AW18="기아")," 본사출고"&amp;" "&amp;AJ15&amp;""&amp;"-기타부대비용▶"&amp;"["&amp;AP30&amp;"]"&amp;"원 약정 입력하세요. (출고의무보험)",IF(AO4=4,""&amp;AJ15&amp;""&amp;"▶[제조사탁송료"&amp;'현대제조사탁송료(전기차too)'!T4&amp;"원]",IF(AND(AO5=1,AO4=6),""&amp;AJ15&amp;""&amp;"▶[제조사탁송료"&amp;'현대제조사탁송료(전기차too)'!U4&amp;"원]",IF(AND(AO5=1,AW18="KG모빌리티"),"본사출고는 약정입력시 기타부대비용 ▶"&amp;"["&amp;AP30&amp;"]"&amp;"원 추가 입력하세요! 의무보험가입대상입니다.",IF(AND(AW16="E",AO5=2,AT12="유림"),"대리점출고 제조사탁송-유림이며 복합탁송은 업체를 반드시 선택하세요.",IF(AND(AW16="E",AO5=2,AT13="HL홀딩스"),"대리점출고 제조사탁송-HL홀딩스이며 복합탁송은 업체를 반드시 선택하세요.",IF(AO5=2,"대리점출고 제조사탁송-오토클릭이며 복합탁송은 업체를 반드시 선택하세요.",IF(AND(AW16="E",AO8="06:화성")," 외주탁송時 "&amp;AJ15&amp;" AK15기타부대비용▶"&amp;"["&amp;AP30&amp;"]"&amp;"원 약정 입력하세요. (출고의무보험)",IF(AND(AW16="E",AO8="07:광주")," 외주탁송時 "&amp;AJ15&amp;" 기타부대비용▶"&amp;"["&amp;AP30&amp;"]"&amp;"원 약정 입력하세요. (출고의무보험)","본사출고 탁송업체 - "&amp;AJ15&amp;"입니다."))))))))))))</f>
        <v>대리점출고 제조사탁송-오토클릭이며 복합탁송은 업체를 반드시 선택하세요.</v>
      </c>
      <c r="AG17" s="1604"/>
      <c r="AH17" s="1604"/>
      <c r="AI17" s="1604"/>
      <c r="AJ17" s="1604"/>
      <c r="AK17" s="1605"/>
      <c r="AL17" s="932"/>
      <c r="AM17" s="662" t="b">
        <f>IF(AND(AO5=1,AO4=1),TRUE,FALSE)</f>
        <v>0</v>
      </c>
      <c r="AN17" s="663" t="s">
        <v>235</v>
      </c>
      <c r="AO17" s="664">
        <v>2</v>
      </c>
      <c r="AP17" s="604">
        <f ca="1">IF(AQ17="승용",1,IF(AQ17="승합",2,3))</f>
        <v>1</v>
      </c>
      <c r="AQ17" s="606" t="str">
        <f ca="1">IFERROR(INDEX(렌터카모델!S3:S147,렌터카모델!D2),"승용")</f>
        <v>승용</v>
      </c>
      <c r="AR17" s="70"/>
      <c r="AS17" s="71"/>
      <c r="AT17" s="141" t="str">
        <f ca="1">IF(AW16="e","부산","해당사항 없음")</f>
        <v>해당사항 없음</v>
      </c>
      <c r="AU17" s="143" t="b">
        <f ca="1">IF(NOT(AW16="E"),TRUE,FALSE)</f>
        <v>1</v>
      </c>
      <c r="AV17" s="85" t="s">
        <v>236</v>
      </c>
      <c r="AW17" s="118">
        <f ca="1">INDEX(렌터카모델!Q3:Q147,렌터카모델!D2)</f>
        <v>5</v>
      </c>
      <c r="AX17" s="86"/>
      <c r="AY17" s="147"/>
      <c r="AZ17" s="68"/>
      <c r="BA17" s="1067" t="s">
        <v>237</v>
      </c>
      <c r="BB17" s="519">
        <f ca="1">IFERROR(VLOOKUP(LEFT(INDEX(렌터카모델!U3:U147,렌터카모델!D2),1),#REF!,2,0),0)</f>
        <v>0</v>
      </c>
      <c r="BC17" s="148" t="b">
        <v>0</v>
      </c>
      <c r="BD17" s="136" t="s">
        <v>238</v>
      </c>
      <c r="BE17" s="137"/>
      <c r="BF17" s="138"/>
      <c r="BG17" s="139">
        <f ca="1">BG15-BG16</f>
        <v>553272.22222222225</v>
      </c>
      <c r="BH17" s="68"/>
      <c r="BI17" s="68" t="b">
        <f>IF(BI12=2,TRUE,FALSE)</f>
        <v>0</v>
      </c>
      <c r="BJ17" s="67"/>
      <c r="BK17" s="149"/>
      <c r="BL17" s="149"/>
      <c r="BM17" s="149"/>
      <c r="BP17" s="1517"/>
      <c r="BQ17" s="1517"/>
      <c r="BR17" s="429" t="s">
        <v>934</v>
      </c>
      <c r="BS17" s="429"/>
      <c r="BT17" s="429" t="s">
        <v>935</v>
      </c>
    </row>
    <row r="18" spans="1:72" ht="24.95" customHeight="1">
      <c r="A18" s="448"/>
      <c r="B18" s="1467" t="s">
        <v>239</v>
      </c>
      <c r="C18" s="1467"/>
      <c r="D18" s="1467"/>
      <c r="E18" s="1468"/>
      <c r="F18" s="1575" t="str">
        <f ca="1">INDEX(BC5:BC12,BC4)</f>
        <v>셀프</v>
      </c>
      <c r="G18" s="1575"/>
      <c r="H18" s="1575"/>
      <c r="I18" s="1575"/>
      <c r="J18" s="1575"/>
      <c r="K18" s="1575"/>
      <c r="L18" s="1575"/>
      <c r="M18" s="1575"/>
      <c r="N18" s="1575"/>
      <c r="O18" s="665"/>
      <c r="P18" s="1536" t="str">
        <f>IF(BJ4=5,F18,IF(고객용견적!AE6=FALSE,"",INDEX(BC27:BC34,BC26)))</f>
        <v/>
      </c>
      <c r="Q18" s="1537"/>
      <c r="R18" s="1537"/>
      <c r="S18" s="1537"/>
      <c r="T18" s="1538"/>
      <c r="U18" s="1538"/>
      <c r="V18" s="1538"/>
      <c r="W18" s="1538"/>
      <c r="X18" s="1538"/>
      <c r="Y18" s="1539"/>
      <c r="Z18" s="1459" t="str">
        <f>IF(BJ4=5,F18,IF(고객용견적!AE7=FALSE,"",INDEX(BC69:BC76,BC68)))</f>
        <v/>
      </c>
      <c r="AA18" s="1460"/>
      <c r="AB18" s="1460"/>
      <c r="AC18" s="1460"/>
      <c r="AD18" s="616"/>
      <c r="AE18" s="1726" t="s">
        <v>1329</v>
      </c>
      <c r="AF18" s="1154" t="s">
        <v>230</v>
      </c>
      <c r="AG18" s="1602"/>
      <c r="AH18" s="1602"/>
      <c r="AI18" s="1155" t="s">
        <v>1878</v>
      </c>
      <c r="AJ18" s="1163"/>
      <c r="AK18" s="935"/>
      <c r="AL18" s="932"/>
      <c r="AM18" s="667" t="b">
        <v>0</v>
      </c>
      <c r="AN18" s="657"/>
      <c r="AO18" s="668" t="s">
        <v>877</v>
      </c>
      <c r="AP18" s="613" t="s">
        <v>241</v>
      </c>
      <c r="AQ18" s="669"/>
      <c r="AR18" s="70"/>
      <c r="AS18" s="100"/>
      <c r="AT18" s="141" t="s">
        <v>242</v>
      </c>
      <c r="AU18" s="150" t="b">
        <f ca="1">IF(AW16="E",TRUE,FALSE)</f>
        <v>0</v>
      </c>
      <c r="AV18" s="85" t="s">
        <v>93</v>
      </c>
      <c r="AW18" s="1462" t="str">
        <f ca="1">IF(OR(AW16="E",AY7=9),AX4,INDEX(렌터카모델!B3:B35,렌터카모델!B2))</f>
        <v>현대</v>
      </c>
      <c r="AX18" s="1463"/>
      <c r="AY18" s="151">
        <f ca="1">IF(AND(AW16="E",ROUNDDOWN(AX28*4%,-1)-주요기준!C46&gt;0),ROUNDDOWN(AX28*4%,-1)-주요기준!C46,IF(AND(AW16="E",ROUNDDOWN(AX28*4%,-1)-주요기준!C46&lt;=0),0,IF(AND(AW16="T",AW12&lt;3000,ROUNDDOWN(AX28*4%,-1)-주요기준!C45&gt;0),ROUNDDOWN(AX28*4%,-1)-주요기준!C45,IF(AND(AW16="T",AW12&lt;3000,ROUNDDOWN(AX28*4%,-1)-주요기준!C45&lt;=0),0,ROUNDDOWN(AX28*4%,-1)))))</f>
        <v>1501080</v>
      </c>
      <c r="AZ18" s="68"/>
      <c r="BA18" s="1068" t="s">
        <v>176</v>
      </c>
      <c r="BB18" s="1069">
        <f ca="1">IF(BI12=2,"11000",ROUNDUP(ROUNDUP($AB$9*F14/1.1,-4)*1.1,-3))</f>
        <v>26092000</v>
      </c>
      <c r="BC18" s="148" t="b">
        <v>1</v>
      </c>
      <c r="BD18" s="152"/>
      <c r="BE18" s="97"/>
      <c r="BF18" s="96"/>
      <c r="BG18" s="98"/>
      <c r="BH18" s="68"/>
      <c r="BI18" s="69"/>
      <c r="BJ18" s="69"/>
      <c r="BK18" s="69"/>
      <c r="BL18" s="69"/>
      <c r="BM18" s="69"/>
      <c r="BP18" s="1518" t="s">
        <v>887</v>
      </c>
      <c r="BQ18" s="430" t="s">
        <v>888</v>
      </c>
      <c r="BR18" s="1520" t="s">
        <v>889</v>
      </c>
      <c r="BS18" s="54">
        <v>1</v>
      </c>
      <c r="BT18" s="431">
        <v>0.8</v>
      </c>
    </row>
    <row r="19" spans="1:72" ht="24.95" customHeight="1" thickBot="1">
      <c r="A19" s="448"/>
      <c r="B19" s="1488" t="s">
        <v>209</v>
      </c>
      <c r="C19" s="1488"/>
      <c r="D19" s="1488"/>
      <c r="E19" s="1489"/>
      <c r="F19" s="1490"/>
      <c r="G19" s="1490"/>
      <c r="H19" s="1490"/>
      <c r="I19" s="1490"/>
      <c r="J19" s="1486" t="str">
        <f>INDEX(BA13:BA17,BB12)</f>
        <v>2만km</v>
      </c>
      <c r="K19" s="1486"/>
      <c r="L19" s="1486"/>
      <c r="M19" s="1486"/>
      <c r="N19" s="1486"/>
      <c r="O19" s="670"/>
      <c r="P19" s="1547"/>
      <c r="Q19" s="1548"/>
      <c r="R19" s="1548"/>
      <c r="S19" s="1548"/>
      <c r="T19" s="1479" t="str">
        <f>IF(BJ4=5,J19,IF(고객용견적!AE6=FALSE,"",INDEX(BA38:BA42,BB37)))</f>
        <v/>
      </c>
      <c r="U19" s="1479"/>
      <c r="V19" s="1479"/>
      <c r="W19" s="1479"/>
      <c r="X19" s="1479"/>
      <c r="Y19" s="671"/>
      <c r="Z19" s="672"/>
      <c r="AA19" s="672"/>
      <c r="AB19" s="673" t="str">
        <f>IF(BJ4=5,J19,IF(고객용견적!AE7=FALSE,"",INDEX(BA77:BA81,BB76)))</f>
        <v/>
      </c>
      <c r="AC19" s="672"/>
      <c r="AD19" s="616"/>
      <c r="AE19" s="1461"/>
      <c r="AF19" s="1142" t="s">
        <v>809</v>
      </c>
      <c r="AG19" s="1581"/>
      <c r="AH19" s="1581"/>
      <c r="AI19" s="686" t="s">
        <v>1882</v>
      </c>
      <c r="AJ19" s="666"/>
      <c r="AK19" s="1481" t="s">
        <v>1793</v>
      </c>
      <c r="AL19" s="932"/>
      <c r="AM19" s="674"/>
      <c r="AN19" s="657"/>
      <c r="AO19" s="668" t="s">
        <v>878</v>
      </c>
      <c r="AP19" s="613" t="s">
        <v>243</v>
      </c>
      <c r="AQ19" s="669">
        <f ca="1">IF($AT$4=1,(AO20+AO21+INDEX(AO23:AO25,AO22)+INDEX(AO27:AO29,AO26)+AO30+AQ18),(AO20+AO21+INDEX(AO23:AO25,AO22)+INDEX(AO27:AO29,AO26)+AO30+AQ18))</f>
        <v>646273.5</v>
      </c>
      <c r="AR19" s="77"/>
      <c r="AS19" s="71"/>
      <c r="AT19" s="141" t="s">
        <v>244</v>
      </c>
      <c r="AU19" s="153">
        <v>4</v>
      </c>
      <c r="AV19" s="1545"/>
      <c r="AW19" s="1546"/>
      <c r="AX19" s="154"/>
      <c r="AY19" s="147"/>
      <c r="AZ19" s="517">
        <f>IF(F16&lt;=40%,F16,40%+(F16-40%)*VLOOKUP(BT15,$BS$18:$BT$21,2))</f>
        <v>0</v>
      </c>
      <c r="BA19" s="516" t="s">
        <v>894</v>
      </c>
      <c r="BB19" s="520">
        <f>ROUNDUP($AB$9*AZ19,-4)</f>
        <v>0</v>
      </c>
      <c r="BC19" s="148"/>
      <c r="BD19" s="155" t="s">
        <v>245</v>
      </c>
      <c r="BE19" s="156">
        <f ca="1">PMT((BG21)/12,BB4,-$AY$54-BB22-BB23-BB24-AX46-AX47+BB20+BB19,BF7-BB19)+BG16</f>
        <v>669641.35333463852</v>
      </c>
      <c r="BF19" s="157">
        <f ca="1">IF(AW16="E",ROUNDUP(RATE(BB4,BE19,-$AY$54,BF7)*12,4),IF(AW12=0,"error",ROUNDUP(RATE(BB4,BE19,-$AY$54,BF7)*12,4)))</f>
        <v>7.4900000000000008E-2</v>
      </c>
      <c r="BG19" s="158"/>
      <c r="BH19" s="68"/>
      <c r="BI19" s="69"/>
      <c r="BJ19" s="69"/>
      <c r="BK19" s="69"/>
      <c r="BL19" s="69"/>
      <c r="BM19" s="69"/>
      <c r="BP19" s="1519"/>
      <c r="BQ19" s="430" t="s">
        <v>890</v>
      </c>
      <c r="BR19" s="1521"/>
      <c r="BS19" s="54">
        <v>2</v>
      </c>
      <c r="BT19" s="431">
        <v>0.76</v>
      </c>
    </row>
    <row r="20" spans="1:72" ht="24.75" customHeight="1" thickBot="1">
      <c r="A20" s="448"/>
      <c r="B20" s="1487" t="str">
        <f ca="1">IF(L24&gt;0,"","월렌트료")</f>
        <v>월렌트료</v>
      </c>
      <c r="C20" s="1487"/>
      <c r="D20" s="1487"/>
      <c r="E20" s="1487"/>
      <c r="F20" s="1485">
        <f ca="1">IF(AG24="미운영","고잔가 불가",IF(AG24="무제한 불가","약정주행거리 재선택",IF(AND(AY7=9,AO5=2),"선구매는 본사출고 선택",IF(AS12="선택불가","대리점 탁송사 선택!",IF(AS20=FALSE,"탁송방식 선택 확인!",IF(AG29="※ 인센티브하향","인센티브 하향",IF(AND(AW12&lt;1000,AQ26=1,AW16="D"),"경차 임직원특약불가",IF(AND(AW12&lt;1000,AQ26=1,AW16="M"),"경차 임직원특약불가",IF(AND(AU8=FALSE,BG17&gt;1000000),LEFT(BG17,3)+IF(RIGHT(BG17,4)&gt;"5000","1","0")&amp;" 만원대~",IF(AND(AU8=FALSE,BG17&lt;1000000),LEFT(BG17,2)+IF(RIGHT(BG17,4)&gt;"5000","1","0")&amp;" 만원대↑~",IF(AND(AN15=FALSE,LEFT(B11,1)="※"),"※면세가 확인후 클릭 ▶",IF(AM19="개소세율 오류!","개소세율 오류!",IF(AND(BI12=2,렌터카모델!B2=8),"전기차 할부형렌터불가",IF(BC2="정비를선택해주세요!","정비를선택해주세요!",IF(L24&gt;0,"",IF(BB26&gt;90%,"잔가+보증금 초과",IF(LEFT(F12,4)="↓최저잔","최저잔가미만!",IF(AND(AW12=0,AW16="E"),BG17,IF(AW12=0,"배기량 입력!",IF(AND(AU14=TRUE,AB10&lt;7000000),"면세가 입력!",IF(AND(AY7=9,AO5=2),"선구매는 본사출고 선택",IF(AND(AU38="용품없음",AO4=3),"용품작업 없을 시 복합탁송불가",BG17))))))))))))))))))))))</f>
        <v>553272.22222222225</v>
      </c>
      <c r="G20" s="1485"/>
      <c r="H20" s="1485"/>
      <c r="I20" s="1485"/>
      <c r="J20" s="1485"/>
      <c r="K20" s="1485"/>
      <c r="L20" s="1485"/>
      <c r="M20" s="1485"/>
      <c r="N20" s="1485"/>
      <c r="O20" s="675" t="s">
        <v>947</v>
      </c>
      <c r="P20" s="1543" t="str">
        <f ca="1">IF(AND(고객용견적!AE6=TRUE,AI24="미운영"),"고잔가 불가",IF(AND(고객용견적!AE6=TRUE,AI24="무제한 불가"),"약정주행거리 재선택",IF(AND(AY7=9,AO5=2),"선구매는 본사출고 선택",IF(AS12="선택불가","대리점 탁송사 선택!",IF(AS20=FALSE,"탁송방식 선택 확인!",IF(AI29="※ 인센티브하향","인센티브 하향",IF(고객용견적!AE6=FALSE,"",IF(AND(고객용견적!AE6=TRUE,AM19="개소세율 오류!"),"개소세율 오류!",IF(AS12="선택불가","대리점 탁송사 선택!",IF(AND(AW12&lt;1000,AQ26=1,AW16="D"),"경차 임직원특약불가",IF(AND(AW12&lt;1000,AQ26=1,AW16="M"),"경차 임직원특약불가",IF(고객용견적!$AE$6=FALSE,"",IF(AND(AU8=FALSE,BG39&gt;1000000),LEFT(BG39,3)+IF(RIGHT(BG39,4)&gt;"5000","1","0")&amp;"만원대~",IF(AND(AU8=FALSE,BG39&lt;1000000),LEFT(BG39,2)+IF(RIGHT(BG39,4)&gt;"5000","1","0")&amp;"만원대↑~",IF(F20="개소세율 오류!","개소세율 오류!",IF(고객용견적!AE6=FALSE,"",IF(AND(고객용견적!AE6=TRUE,BC25="정비를선택해주세요!"),"정비를선택해주세요!",IF(R24&gt;1,"",IFERROR(IF(AND(BB51&gt;90%,고객용견적!AE6=TRUE),"잔가+보증금 초과",IF(AND(AU14=TRUE,AB10&lt;7000000),"면세가 입력!",IF(LEFT(P12,4)="↓최저잔","최저잔가미만!",BG39))),"")))))))))))))))))))</f>
        <v/>
      </c>
      <c r="Q20" s="1544"/>
      <c r="R20" s="1544"/>
      <c r="S20" s="1544"/>
      <c r="T20" s="1544"/>
      <c r="U20" s="1544"/>
      <c r="V20" s="1544"/>
      <c r="W20" s="1544"/>
      <c r="X20" s="1544"/>
      <c r="Y20" s="676" t="str">
        <f>IF(AU8=FALSE,"","원")</f>
        <v>원</v>
      </c>
      <c r="Z20" s="677"/>
      <c r="AA20" s="1464" t="str">
        <f ca="1">IF(AND(고객용견적!AE7=TRUE,AJ24="미운영"),"고잔가 불가",IF(AND(고객용견적!AE7=TRUE,AJ24="무제한 불가"),"약정주행거리 재선택",IF(AND(AY7=9,AO5=2),"선구매는 본사출고 선택",IF(AS12="선택불가","대리점 탁송사 선택!",IF(AS20=FALSE,"탁송방식 선택 확인!",IF(AJ29="※ 인센티브하향","인센티브 하향",IF(고객용견적!AE7=FALSE,"",IF(AND(고객용견적!AE7=TRUE,AM19="개소세율 오류!"),"개소세율 오류!",IF(AS12="선택불가","대리점 탁송사 선택!",IF(AND(AW12&lt;1000,AQ26=1,AW16="D"),"경차 임직원특약불가",IF(AND(AW12&lt;1000,AQ26=1,AW16="M"),"경차 임직원특약불가",IF(고객용견적!$AE$7=FALSE,"",IF(AND(AU8=FALSE,BG81&gt;1000000),LEFT(BG81,3)+IF(RIGHT(BG81,4)&gt;"5000","1","0")&amp;"만원대~",IF(AND(AU8=FALSE,BG81&lt;1000000),LEFT(BG81,2)+IF(RIGHT(BG81,4)&gt;"5000","1","0")&amp;"만원대↑~",IF(F20="개소세율 오류!","개소세율 오류!",IF(고객용견적!AE7=FALSE,"",IF(AND(고객용견적!AE6=TRUE,BC67="정비를선택해주세요!"),"정비를선택해주세요!",IF(AA24&gt;1,"",IFERROR(IF(AND(BB90&gt;90%,고객용견적!AE6=TRUE),"잔가+보증금 초과",IF(AND(AU14=TRUE,AB10&lt;7000000),"면세가 입력!",IF(LEFT(Z12,4)="↓최저잔","최저잔가미만!",BG81))),"")))))))))))))))))))</f>
        <v/>
      </c>
      <c r="AB20" s="1464"/>
      <c r="AC20" s="677" t="str">
        <f>IF(AU8=FALSE,"","원")</f>
        <v>원</v>
      </c>
      <c r="AD20" s="616"/>
      <c r="AE20" s="1461"/>
      <c r="AF20" s="1142" t="s">
        <v>240</v>
      </c>
      <c r="AG20" s="1540"/>
      <c r="AH20" s="1540"/>
      <c r="AI20" s="686" t="s">
        <v>1881</v>
      </c>
      <c r="AJ20" s="1380"/>
      <c r="AK20" s="1482"/>
      <c r="AL20" s="932"/>
      <c r="AM20" s="596"/>
      <c r="AN20" s="678" t="s">
        <v>246</v>
      </c>
      <c r="AO20" s="1031">
        <f ca="1">IF($AO$17=2,IF($AQ$17="승용",렌터카보험_수정!C11,IF($AQ$17="승합",렌터카보험_수정!D11,IF(AND(렌터카보험_수정!$E$5=1,$AQ$17="다인승"),렌터카보험_수정!E11,IF(AND(렌터카보험_수정!$E$5=2,$AQ$17="다인승"),렌터카보험_수정!F11)))),IF($AQ$17="승용",렌터카보험_수정!J11,IF($AQ$17="승합",렌터카보험_수정!K11,IF(AND(렌터카보험_수정!$E$5=1,$AQ$17="다인승"),렌터카보험_수정!L11,IF(AND(렌터카보험_수정!$E$5=2,$AQ$17="다인승"),렌터카보험_수정!M11)))))</f>
        <v>132591.9</v>
      </c>
      <c r="AP20" s="1029" t="s">
        <v>247</v>
      </c>
      <c r="AQ20" s="1030">
        <f ca="1">(ROUNDUP(AO32+AQ19+1000+AO31,-2)+IF(AT29="공제조합",14000,0))</f>
        <v>647300</v>
      </c>
      <c r="AR20" s="159"/>
      <c r="AS20" s="1366" t="b">
        <f ca="1">IF(AND(AO4=1,AS21="선택불가"),FALSE,IF(AND(AO4=2,AS22="선택불가"),FALSE,IF(AND(AO4=3,AS23="선택불가"),FALSE,IF(AND(AO4=4,AS24="선택불가"),FALSE,IF(AND(AO4=5,AS25="선택불가"),FALSE,IF(AND(AO4=6,AS26="선택불가"),FALSE,TRUE))))))</f>
        <v>1</v>
      </c>
      <c r="AT20" s="1365" t="s">
        <v>248</v>
      </c>
      <c r="AU20" s="78" t="b">
        <f>IF(OR(BI12=3,BI12=4),TRUE,FALSE)</f>
        <v>0</v>
      </c>
      <c r="AV20" s="1522" t="s">
        <v>249</v>
      </c>
      <c r="AW20" s="1523"/>
      <c r="AX20" s="160">
        <f ca="1">INDEX(렌터카모델!AE3:AE147,렌터카모델!D2)</f>
        <v>0</v>
      </c>
      <c r="AY20" s="161"/>
      <c r="AZ20"/>
      <c r="BA20" s="516" t="s">
        <v>234</v>
      </c>
      <c r="BB20" s="520">
        <f>IF(BC18=TRUE,AG27,ROUNDUP(AB9*AG27/100,-4))</f>
        <v>10000000</v>
      </c>
      <c r="BC20" s="527" t="b">
        <v>0</v>
      </c>
      <c r="BD20" s="162" t="s">
        <v>250</v>
      </c>
      <c r="BE20" s="163">
        <f ca="1">IF(BJ4=1,BJ13,BK13)+IF(BB4=60,0.003,0)+IF(BB12=5,0.01,0)</f>
        <v>6.8000000000000005E-2</v>
      </c>
      <c r="BF20" s="442">
        <f>IF(($F$16+$F$17)&gt;50%,"취급불가",IF(($F$16+$F$17)&gt;=40%,0.002,0))+BJ9</f>
        <v>0</v>
      </c>
      <c r="BG20" s="164">
        <f ca="1">BE20+BF20-IF(AL5=1,0.01,IF(AL5=2,0.005,0))-IF(AND(BJ4=1,AG30+AG32&lt;=3%),0.005,IF(AND(BJ4=1,AG30+AG32&lt;=5%),0.002))</f>
        <v>6.6000000000000003E-2</v>
      </c>
      <c r="BH20" s="987"/>
      <c r="BI20" s="69"/>
      <c r="BJ20" s="69"/>
      <c r="BK20" s="69"/>
      <c r="BL20" s="69"/>
      <c r="BM20" s="69"/>
      <c r="BP20" s="1519"/>
      <c r="BQ20" s="430" t="s">
        <v>891</v>
      </c>
      <c r="BR20" s="1521"/>
      <c r="BS20" s="54">
        <v>3</v>
      </c>
      <c r="BT20" s="431">
        <v>0.72</v>
      </c>
    </row>
    <row r="21" spans="1:72" ht="24.95" customHeight="1" thickBot="1">
      <c r="A21" s="448"/>
      <c r="B21" s="658"/>
      <c r="C21" s="679" t="s">
        <v>251</v>
      </c>
      <c r="D21" s="680"/>
      <c r="E21" s="680"/>
      <c r="F21" s="1473"/>
      <c r="G21" s="1473"/>
      <c r="H21" s="1473"/>
      <c r="I21" s="1473"/>
      <c r="J21" s="1469">
        <f ca="1">IF(AU8=FALSE,"",BG5)</f>
        <v>755500</v>
      </c>
      <c r="K21" s="1469"/>
      <c r="L21" s="1469"/>
      <c r="M21" s="1469"/>
      <c r="N21" s="1469"/>
      <c r="O21" s="681" t="str">
        <f>IF(AU8=FALSE,"","원")</f>
        <v>원</v>
      </c>
      <c r="P21" s="1724"/>
      <c r="Q21" s="1725"/>
      <c r="R21" s="1725"/>
      <c r="S21" s="1725"/>
      <c r="T21" s="1725" t="str">
        <f>IF(AU8=FALSE,"",IF(BJ4=5,BG27,IF(고객용견적!AE6=FALSE,"",BG27)))</f>
        <v/>
      </c>
      <c r="U21" s="1725"/>
      <c r="V21" s="1725"/>
      <c r="W21" s="1725"/>
      <c r="X21" s="1725"/>
      <c r="Y21" s="682" t="str">
        <f>IF(AU8=FALSE,"","원")</f>
        <v>원</v>
      </c>
      <c r="Z21" s="683"/>
      <c r="AA21" s="1472" t="str">
        <f>IF(AU8=FALSE,"",IF(BJ4=5,BG69,IF(고객용견적!AE7=FALSE,"",BG69)))</f>
        <v/>
      </c>
      <c r="AB21" s="1472"/>
      <c r="AC21" s="684" t="str">
        <f>IF(AU8=FALSE,"","원")</f>
        <v>원</v>
      </c>
      <c r="AD21" s="616"/>
      <c r="AE21" s="1461" t="s">
        <v>1330</v>
      </c>
      <c r="AF21" s="1142" t="s">
        <v>870</v>
      </c>
      <c r="AG21" s="685"/>
      <c r="AH21" s="685"/>
      <c r="AI21" s="686"/>
      <c r="AJ21" s="685"/>
      <c r="AK21" s="935"/>
      <c r="AL21" s="932"/>
      <c r="AM21" s="687"/>
      <c r="AN21" s="688" t="s">
        <v>252</v>
      </c>
      <c r="AO21" s="689">
        <f ca="1">IF($AO$17=2,IF($AQ$17="승용",렌터카보험_수정!C12,IF($AQ$17="승합",렌터카보험_수정!D12,IF(AND(렌터카보험_수정!$E$5=1,$AQ$17="다인승"),렌터카보험_수정!E12,IF(AND(렌터카보험_수정!$E$5=2,$AQ$17="다인승"),렌터카보험_수정!F12)))),IF($AQ$17="승용",렌터카보험_수정!J12,IF($AQ$17="승합",렌터카보험_수정!K12,IF(AND(렌터카보험_수정!$E$5=1,$AQ$17="다인승"),렌터카보험_수정!L12,IF(AND(렌터카보험_수정!$E$5=2,$AQ$17="다인승"),렌터카보험_수정!M12)))))</f>
        <v>196833</v>
      </c>
      <c r="AP21" s="604" t="s">
        <v>253</v>
      </c>
      <c r="AQ21" s="690">
        <f ca="1">IF(AW12&lt;=AP22,AQ22,IF(AW12&lt;=AP23,AQ23,IF(AW12&gt;AP24,AQ24)))</f>
        <v>18</v>
      </c>
      <c r="AR21" s="70"/>
      <c r="AS21" s="1119" t="str">
        <f>IF(AO5=2,"제조사(딜러탁송)","선택불가")</f>
        <v>제조사(딜러탁송)</v>
      </c>
      <c r="AT21" s="1037" t="s">
        <v>1278</v>
      </c>
      <c r="AU21" s="78"/>
      <c r="AV21" s="68"/>
      <c r="AW21" s="68"/>
      <c r="AX21" s="68"/>
      <c r="AY21" s="68"/>
      <c r="AZ21" s="147"/>
      <c r="BA21" s="516" t="s">
        <v>254</v>
      </c>
      <c r="BB21" s="531">
        <f>BB20/(AW6+AW8)</f>
        <v>0.22999080036798528</v>
      </c>
      <c r="BC21" s="148">
        <v>4</v>
      </c>
      <c r="BD21" s="166" t="b">
        <v>0</v>
      </c>
      <c r="BE21" s="68">
        <v>280</v>
      </c>
      <c r="BF21" s="167">
        <f>BE21/10000-3.3%</f>
        <v>-5.000000000000001E-3</v>
      </c>
      <c r="BG21" s="168">
        <f ca="1">IF(BD21=FALSE,BG20,BG20+BF21)</f>
        <v>6.6000000000000003E-2</v>
      </c>
      <c r="BH21" s="987"/>
      <c r="BI21" s="69"/>
      <c r="BJ21" s="69"/>
      <c r="BK21" s="69"/>
      <c r="BL21" s="69"/>
      <c r="BM21" s="69"/>
      <c r="BP21" s="1519"/>
      <c r="BQ21" s="430" t="s">
        <v>892</v>
      </c>
      <c r="BR21" s="1521"/>
      <c r="BS21" s="54">
        <v>4</v>
      </c>
      <c r="BT21" s="431">
        <v>0.7</v>
      </c>
    </row>
    <row r="22" spans="1:72" ht="24.95" customHeight="1" thickBot="1">
      <c r="A22" s="448"/>
      <c r="B22" s="658"/>
      <c r="C22" s="691" t="s">
        <v>224</v>
      </c>
      <c r="D22" s="692"/>
      <c r="E22" s="692"/>
      <c r="F22" s="1476"/>
      <c r="G22" s="1476"/>
      <c r="H22" s="1476"/>
      <c r="I22" s="1476"/>
      <c r="J22" s="1541">
        <f ca="1">IF(AU8=FALSE,"",BG14)</f>
        <v>75550</v>
      </c>
      <c r="K22" s="1541"/>
      <c r="L22" s="1541"/>
      <c r="M22" s="1541"/>
      <c r="N22" s="1541"/>
      <c r="O22" s="693" t="str">
        <f>IF(AU8=FALSE,"","원")</f>
        <v>원</v>
      </c>
      <c r="P22" s="1542"/>
      <c r="Q22" s="1541"/>
      <c r="R22" s="1541"/>
      <c r="S22" s="1541"/>
      <c r="T22" s="1541" t="str">
        <f>IF(AU8=FALSE,"",IF(BJ4=5,BG36,IF(고객용견적!AE6=FALSE,"",BG36)))</f>
        <v/>
      </c>
      <c r="U22" s="1541"/>
      <c r="V22" s="1541"/>
      <c r="W22" s="1541"/>
      <c r="X22" s="1541"/>
      <c r="Y22" s="694" t="str">
        <f>IF(AU8=FALSE,"","원")</f>
        <v>원</v>
      </c>
      <c r="Z22" s="695"/>
      <c r="AA22" s="1472" t="str">
        <f>IF(AU8=FALSE,"",IF(BJ4=5,BG78,IF(고객용견적!AE7=FALSE,"",BG78)))</f>
        <v/>
      </c>
      <c r="AB22" s="1472"/>
      <c r="AC22" s="696" t="str">
        <f>IF(AU8=FALSE,"","원")</f>
        <v>원</v>
      </c>
      <c r="AD22" s="616"/>
      <c r="AE22" s="1461"/>
      <c r="AF22" s="1143" t="s">
        <v>211</v>
      </c>
      <c r="AG22" s="1480"/>
      <c r="AH22" s="1480"/>
      <c r="AI22" s="697"/>
      <c r="AJ22" s="698"/>
      <c r="AK22" s="1477" t="s">
        <v>1790</v>
      </c>
      <c r="AL22" s="932"/>
      <c r="AM22" s="1093">
        <v>3</v>
      </c>
      <c r="AN22" s="699" t="s">
        <v>255</v>
      </c>
      <c r="AO22" s="700">
        <v>1</v>
      </c>
      <c r="AP22" s="630">
        <v>1600</v>
      </c>
      <c r="AQ22" s="614">
        <v>18</v>
      </c>
      <c r="AR22" s="70"/>
      <c r="AS22" s="1025" t="str">
        <f>IF(AO5=2,"선택불가",IF(AND(AO5=1,OR(AO8="02:울산",AO8="03:울산대형")),"선택불가","외주탁송"))</f>
        <v>선택불가</v>
      </c>
      <c r="AT22" s="1026">
        <f ca="1">IF(AT4=1,AS27,IF(AQ31="대상",AS27-(AS27*0.048),AS27))</f>
        <v>647300</v>
      </c>
      <c r="AU22" s="78"/>
      <c r="AV22" s="169" t="s">
        <v>148</v>
      </c>
      <c r="AW22" s="170" t="s">
        <v>149</v>
      </c>
      <c r="AX22" s="170" t="s">
        <v>256</v>
      </c>
      <c r="AY22" s="171" t="s">
        <v>257</v>
      </c>
      <c r="AZ22" s="68"/>
      <c r="BA22" s="1065" t="s">
        <v>258</v>
      </c>
      <c r="BB22" s="1069">
        <f ca="1">IF(AG29="※ 인센티브하향","인센티브하향",($AG$30*IF(AW16="E",AY54,$AB$9)+BB25))</f>
        <v>1739200.2299908004</v>
      </c>
      <c r="BC22" s="172"/>
      <c r="BD22" s="68"/>
      <c r="BE22" s="173"/>
      <c r="BF22" s="68"/>
      <c r="BG22" s="174"/>
      <c r="BH22" s="68"/>
      <c r="BI22" s="69"/>
      <c r="BJ22" s="69"/>
      <c r="BK22" s="69"/>
      <c r="BL22" s="69"/>
      <c r="BM22" s="69"/>
    </row>
    <row r="23" spans="1:72" ht="23.25" customHeight="1" thickBot="1">
      <c r="A23" s="448"/>
      <c r="B23" s="701"/>
      <c r="C23" s="702" t="s">
        <v>259</v>
      </c>
      <c r="D23" s="701"/>
      <c r="E23" s="701"/>
      <c r="F23" s="703"/>
      <c r="G23" s="703"/>
      <c r="H23" s="703"/>
      <c r="I23" s="703"/>
      <c r="J23" s="1526">
        <f>IF(AU8=FALSE,"",BG16)</f>
        <v>277777.77777777775</v>
      </c>
      <c r="K23" s="1526"/>
      <c r="L23" s="1526"/>
      <c r="M23" s="1526"/>
      <c r="N23" s="1526"/>
      <c r="O23" s="704" t="str">
        <f>IF(AU8=FALSE,"","원")</f>
        <v>원</v>
      </c>
      <c r="P23" s="1533" t="s">
        <v>260</v>
      </c>
      <c r="Q23" s="1534"/>
      <c r="R23" s="1534"/>
      <c r="S23" s="1534"/>
      <c r="T23" s="1534" t="str">
        <f>IF(BJ4=5,BG38,IF(고객용견적!AE6=FALSE,"",BG38))</f>
        <v/>
      </c>
      <c r="U23" s="1534"/>
      <c r="V23" s="1534"/>
      <c r="W23" s="1534"/>
      <c r="X23" s="1534"/>
      <c r="Y23" s="705" t="str">
        <f>IF(AU8=FALSE,"","원")</f>
        <v>원</v>
      </c>
      <c r="Z23" s="672"/>
      <c r="AA23" s="672"/>
      <c r="AB23" s="706" t="str">
        <f>IF(BJ4=5,BG80,IF(고객용견적!AE7=FALSE,"",BG80))</f>
        <v/>
      </c>
      <c r="AC23" s="672" t="str">
        <f>IF(AU8=FALSE,"","원")</f>
        <v>원</v>
      </c>
      <c r="AD23" s="616"/>
      <c r="AE23" s="1461" t="s">
        <v>1331</v>
      </c>
      <c r="AF23" s="1144" t="s">
        <v>854</v>
      </c>
      <c r="AG23" s="1898">
        <v>36</v>
      </c>
      <c r="AH23" s="1890"/>
      <c r="AI23" s="707"/>
      <c r="AJ23" s="698"/>
      <c r="AK23" s="1478"/>
      <c r="AL23" s="932"/>
      <c r="AM23" s="1092" t="str">
        <f ca="1">IF(AJ4="할인 대상아님","할인 대상아님","마이카 연결 '예'")</f>
        <v>마이카 연결 '예'</v>
      </c>
      <c r="AN23" s="708" t="s">
        <v>871</v>
      </c>
      <c r="AO23" s="709">
        <f ca="1">IF($AO$17=2,IF($AQ$17="승용",렌터카보험_수정!C13,IF($AQ$17="승합",렌터카보험_수정!D13,IF(AND(렌터카보험_수정!$E$5=1,$AQ$17="다인승"),렌터카보험_수정!E13,IF(AND(렌터카보험_수정!$E$5=2,$AQ$17="다인승"),렌터카보험_수정!F13)))),IF($AQ$17="승용",렌터카보험_수정!J13,IF($AQ$17="승합",렌터카보험_수정!K13,IF(AND(렌터카보험_수정!$E$5=1,$AQ$17="다인승"),렌터카보험_수정!L13,IF(AND(렌터카보험_수정!$E$5=2,$AQ$17="다인승"),렌터카보험_수정!M13)))))</f>
        <v>305261.10000000003</v>
      </c>
      <c r="AP23" s="630">
        <v>2500</v>
      </c>
      <c r="AQ23" s="614">
        <v>19</v>
      </c>
      <c r="AR23" s="70"/>
      <c r="AS23" s="1025" t="s">
        <v>261</v>
      </c>
      <c r="AT23" s="1037" t="s">
        <v>1279</v>
      </c>
      <c r="AU23" s="112"/>
      <c r="AV23" s="175" t="s">
        <v>262</v>
      </c>
      <c r="AW23" s="137" t="s">
        <v>263</v>
      </c>
      <c r="AX23" s="176">
        <f ca="1">IF(AU14=TRUE,AJ10-AW7,AP2-AW7)</f>
        <v>41279787.335042253</v>
      </c>
      <c r="AY23" s="139">
        <v>0</v>
      </c>
      <c r="AZ23" s="68"/>
      <c r="BA23" s="1065" t="s">
        <v>264</v>
      </c>
      <c r="BB23" s="1070">
        <f ca="1">$AG$32*IF(AW16="E",AY54,$AB$9)</f>
        <v>0</v>
      </c>
      <c r="BC23" s="68"/>
      <c r="BD23" s="68"/>
      <c r="BE23" s="178"/>
      <c r="BF23" s="68"/>
      <c r="BG23" s="68"/>
      <c r="BH23" s="68"/>
      <c r="BI23" s="69"/>
      <c r="BJ23" s="69"/>
      <c r="BK23" s="69"/>
      <c r="BL23" s="69"/>
      <c r="BM23" s="69"/>
    </row>
    <row r="24" spans="1:72" ht="24.95" customHeight="1" thickBot="1">
      <c r="A24" s="448"/>
      <c r="B24" s="1556" t="str">
        <f>IF(AM22=3,"",IF(AM22=2,"","MyCar 카드연결 조건 렌트료 ▶"))</f>
        <v/>
      </c>
      <c r="C24" s="1556"/>
      <c r="D24" s="1556"/>
      <c r="E24" s="1556"/>
      <c r="F24" s="1556"/>
      <c r="G24" s="1556"/>
      <c r="H24" s="1556"/>
      <c r="I24" s="1556"/>
      <c r="J24" s="710"/>
      <c r="K24" s="710"/>
      <c r="L24" s="1525">
        <f ca="1">IF(AG37="심사기준금액미달","심사기준금액미달",IF(AN10=FALSE,0,IF(BB26&gt;90%,"잔가+보증금 초과",IF(AND(AW12=0,AW16="E"),BG17,IF(AW12=0,"배기량 입력!",IF(AND(AU14=TRUE,AB10&lt;7000000),"면세가 입력!",BG17))))))</f>
        <v>0</v>
      </c>
      <c r="M24" s="1525"/>
      <c r="N24" s="1525"/>
      <c r="O24" s="711" t="str">
        <f>IF(AU8=FALSE,"","원")</f>
        <v>원</v>
      </c>
      <c r="P24" s="712"/>
      <c r="Q24" s="713"/>
      <c r="R24" s="1555" t="str">
        <f>IF(고객용견적!AE6=FALSE,"",IF(AND(AO10=TRUE,AI37="심사기준금액미달"),"심사기준금액미달",IF(AN10=FALSE,0,IFERROR(IF(AND(BB51&gt;90%,고객용견적!AE6=TRUE),"잔가+보증금 초과",IF(AND(AU14=TRUE,AB10&lt;7000000),"면세가 입력!",BG39)),""))))</f>
        <v/>
      </c>
      <c r="S24" s="1555"/>
      <c r="T24" s="1555"/>
      <c r="U24" s="1555"/>
      <c r="V24" s="1555"/>
      <c r="W24" s="1555"/>
      <c r="X24" s="1555"/>
      <c r="Y24" s="714" t="str">
        <f>IF(AU8=FALSE,"","원")</f>
        <v>원</v>
      </c>
      <c r="Z24" s="715"/>
      <c r="AA24" s="1704" t="str">
        <f>IF(고객용견적!AE7=FALSE,"",IF(AND(AO10=TRUE,AJ37="심사기준금액미달"),"심사기준금액미달",IF(AN10=FALSE,0,IFERROR(IF(AND(BB90&gt;90%,고객용견적!AE7=TRUE),"잔가+보증금 초과",IF(AND(AU14=TRUE,AB10&lt;7000000),"면세가 입력!",BG81)),""))))</f>
        <v/>
      </c>
      <c r="AB24" s="1704"/>
      <c r="AC24" s="715" t="str">
        <f>IF(AU8=FALSE,"","원")</f>
        <v>원</v>
      </c>
      <c r="AD24" s="616"/>
      <c r="AE24" s="1461"/>
      <c r="AF24" s="1143" t="str">
        <f>IF(BI12=4,"고잔가율",IF(BI12=3,"고잔가율","최대잔가율"))</f>
        <v>최대잔가율</v>
      </c>
      <c r="AG24" s="1535">
        <f ca="1">IF(BI12=4,잔가기준!R2,IF(BI12=3,잔가기준!R2,IF(BI12=2,11000/AB9,잔가기준!Q2)))</f>
        <v>0.66</v>
      </c>
      <c r="AH24" s="1535"/>
      <c r="AI24" s="716">
        <f ca="1">IF(BI12=4,잔가기준!R3,IF(BI12=3,잔가기준!R3,IF(BI12=2,11000/AB9,잔가기준!Q3)))</f>
        <v>0.59</v>
      </c>
      <c r="AJ24" s="716">
        <f ca="1">IF(BI12=4,잔가기준!R4,IF(BI12=3,잔가기준!R4,IF(BI12=2,11000/AB9,잔가기준!Q4)))</f>
        <v>0.51</v>
      </c>
      <c r="AK24" s="935"/>
      <c r="AL24" s="932"/>
      <c r="AM24" s="1092" t="str">
        <f ca="1">IF(AJ4="할인 대상아님","할인 대상아님","마이카 연결 '아니요' ")</f>
        <v xml:space="preserve">마이카 연결 '아니요' </v>
      </c>
      <c r="AN24" s="708" t="s">
        <v>872</v>
      </c>
      <c r="AO24" s="709">
        <f ca="1">IF($AO$17=2,IF($AQ$17="승용",렌터카보험_수정!C14,IF($AQ$17="승합",렌터카보험_수정!D14,IF(AND(렌터카보험_수정!$E$5=1,$AQ$17="다인승"),렌터카보험_수정!E14,IF(AND(렌터카보험_수정!$E$5=2,$AQ$17="다인승"),렌터카보험_수정!F14)))),IF($AQ$17="승용",렌터카보험_수정!J14,IF($AQ$17="승합",렌터카보험_수정!K14,IF(AND(렌터카보험_수정!$E$5=1,$AQ$17="다인승"),렌터카보험_수정!L14,IF(AND(렌터카보험_수정!$E$5=2,$AQ$17="다인승"),렌터카보험_수정!M14)))))</f>
        <v>312326.90000000002</v>
      </c>
      <c r="AP24" s="717">
        <v>2500</v>
      </c>
      <c r="AQ24" s="650">
        <v>24</v>
      </c>
      <c r="AR24" s="70"/>
      <c r="AS24" s="1104" t="str">
        <f ca="1">IF(AND(AO5=1,OR(AO8="02:울산",AO8="03:울산대형")),"칠곡탁송","선택불가")</f>
        <v>선택불가</v>
      </c>
      <c r="AT24" s="1026">
        <f ca="1">IF(AT4=1,AS28,IF(AQ31="대상",AS28-(AS28*0.048),AS28))</f>
        <v>647300</v>
      </c>
      <c r="AU24" s="78"/>
      <c r="AV24" s="180"/>
      <c r="AW24" s="115" t="s">
        <v>251</v>
      </c>
      <c r="AX24" s="119">
        <f ca="1">ROUND(AX23/1.1,0)</f>
        <v>37527079</v>
      </c>
      <c r="AY24" s="117">
        <v>0</v>
      </c>
      <c r="AZ24" s="68"/>
      <c r="BA24" s="532" t="s">
        <v>266</v>
      </c>
      <c r="BB24" s="533">
        <f>IF(BI12=4,1.5%*AB9,IF(BI12=3,1.5%*AB9,0))</f>
        <v>0</v>
      </c>
      <c r="BC24" s="67"/>
      <c r="BD24" s="68"/>
      <c r="BE24" s="68"/>
      <c r="BF24" s="181"/>
      <c r="BG24" s="68"/>
      <c r="BH24" s="161"/>
      <c r="BI24" s="69"/>
      <c r="BJ24" s="69"/>
      <c r="BK24" s="69"/>
      <c r="BL24" s="69"/>
      <c r="BM24" s="69"/>
    </row>
    <row r="25" spans="1:72" ht="24.95" customHeight="1" thickBot="1">
      <c r="A25" s="448"/>
      <c r="B25" s="1712" t="str">
        <f ca="1">IF(AW16="E","전기차보조금","")</f>
        <v/>
      </c>
      <c r="C25" s="1712"/>
      <c r="D25" s="1712"/>
      <c r="E25" s="1712"/>
      <c r="F25" s="1717" t="str">
        <f ca="1">IF(AND(AW16="E",AG28=0),"보조금을 입력해주세요!","")</f>
        <v/>
      </c>
      <c r="G25" s="1717"/>
      <c r="H25" s="1717"/>
      <c r="I25" s="1717"/>
      <c r="J25" s="1717"/>
      <c r="K25" s="1717"/>
      <c r="L25" s="1718" t="str">
        <f ca="1">IF(AW16="E",+AG28,"")</f>
        <v/>
      </c>
      <c r="M25" s="1718"/>
      <c r="N25" s="1718"/>
      <c r="O25" s="718" t="str">
        <f ca="1">IF(AW16="E","원","")</f>
        <v/>
      </c>
      <c r="P25" s="719" t="str">
        <f ca="1">IF(AND(고객용견적!AE6=TRUE,AW16="E",AI28=0),"보조금을 입력!","")</f>
        <v/>
      </c>
      <c r="Q25" s="720"/>
      <c r="R25" s="720"/>
      <c r="S25" s="720"/>
      <c r="T25" s="1471" t="str">
        <f>IF(고객용견적!AE6=FALSE,"",IF(AW16="E",+AI28,""))</f>
        <v/>
      </c>
      <c r="U25" s="1471"/>
      <c r="V25" s="1471"/>
      <c r="W25" s="1471"/>
      <c r="X25" s="1471"/>
      <c r="Y25" s="672" t="str">
        <f>IF(고객용견적!AE6=FALSE,"",IF(AW16="E","원",""))</f>
        <v/>
      </c>
      <c r="Z25" s="721" t="str">
        <f ca="1">IF(AND(고객용견적!AE7=TRUE,AW16="E",AJ28=0),"보조금을 입력!","")</f>
        <v/>
      </c>
      <c r="AA25" s="722"/>
      <c r="AB25" s="723" t="str">
        <f>IF(고객용견적!AE7=FALSE,"",IF(AW16="E",+AJ28,""))</f>
        <v/>
      </c>
      <c r="AC25" s="672" t="str">
        <f>IF(고객용견적!AE7=FALSE,"",IF(AW16="E","원",""))</f>
        <v/>
      </c>
      <c r="AD25" s="616"/>
      <c r="AE25" s="1461"/>
      <c r="AF25" s="1142" t="s">
        <v>837</v>
      </c>
      <c r="AG25" s="1564">
        <v>0.6</v>
      </c>
      <c r="AH25" s="1564"/>
      <c r="AI25" s="724">
        <v>0.62</v>
      </c>
      <c r="AJ25" s="724">
        <v>0.54</v>
      </c>
      <c r="AK25" s="935"/>
      <c r="AL25" s="932"/>
      <c r="AM25" s="725" t="str">
        <f ca="1">IF(AJ4=" MyCAR_카드연결","MyCAR 연결 할인 대상입니다.↑카드연결 선택하세요","MyCAR 카드연결 할인 대상이 아닙니다.")</f>
        <v>MyCAR 연결 할인 대상입니다.↑카드연결 선택하세요</v>
      </c>
      <c r="AN25" s="1032" t="s">
        <v>873</v>
      </c>
      <c r="AO25" s="1033">
        <f ca="1">IF($AO$17=2,IF($AQ$17="승용",렌터카보험_수정!C15,IF($AQ$17="승합",렌터카보험_수정!D15,IF(AND(렌터카보험_수정!$E$5=1,$AQ$17="다인승"),렌터카보험_수정!E15,IF(AND(렌터카보험_수정!$E$5=2,$AQ$17="다인승"),렌터카보험_수정!F15)))),IF($AQ$17="승용",렌터카보험_수정!J15,IF($AQ$17="승합",렌터카보험_수정!K15,IF(AND(렌터카보험_수정!$E$5=1,$AQ$17="다인승"),렌터카보험_수정!L15,IF(AND(렌터카보험_수정!$E$5=2,$AQ$17="다인승"),렌터카보험_수정!M15)))))</f>
        <v>323069.8</v>
      </c>
      <c r="AP25" s="726"/>
      <c r="AQ25" s="726"/>
      <c r="AR25" s="70"/>
      <c r="AS25" s="1104" t="str">
        <f ca="1">IF(LEFT(AW4,3)="캐스퍼","아산(캐스퍼)탁송","선택불가")</f>
        <v>선택불가</v>
      </c>
      <c r="AT25" s="1038" t="s">
        <v>1280</v>
      </c>
      <c r="AU25" s="112"/>
      <c r="AV25" s="184"/>
      <c r="AW25" s="115" t="s">
        <v>224</v>
      </c>
      <c r="AX25" s="119">
        <f ca="1">AX23-AX24</f>
        <v>3752708.3350422531</v>
      </c>
      <c r="AY25" s="117">
        <v>0</v>
      </c>
      <c r="AZ25" s="68"/>
      <c r="BA25" s="516" t="s">
        <v>267</v>
      </c>
      <c r="BB25" s="526">
        <f>(BB20+J16)/AW10</f>
        <v>0.22999080036798528</v>
      </c>
      <c r="BC25" s="518" t="str">
        <f ca="1">INDEX(BC27:BC34,렌터카견적내기!$BC$26)</f>
        <v>셀프</v>
      </c>
      <c r="BD25" s="82" t="str">
        <f>IF(고객용견적!AE6=FALSE,"",IF(BC26=4,TRUE))</f>
        <v/>
      </c>
      <c r="BE25" s="82" t="str">
        <f>IF(고객용견적!AE6=FALSE,"",IF(BC26=3,TRUE))</f>
        <v/>
      </c>
      <c r="BF25" s="82" t="str">
        <f>IF(고객용견적!AE6=FALSE,"",IF(BC26=2,TRUE))</f>
        <v/>
      </c>
      <c r="BG25" s="82" t="str">
        <f>IF(고객용견적!AE6=FALSE,"",IF(BC26=1,TRUE))</f>
        <v/>
      </c>
      <c r="BH25" s="68"/>
      <c r="BI25" s="68"/>
      <c r="BJ25" s="68"/>
      <c r="BK25" s="69"/>
      <c r="BL25" s="69"/>
      <c r="BM25" s="69"/>
    </row>
    <row r="26" spans="1:72" ht="21" customHeight="1" thickBot="1">
      <c r="A26" s="448"/>
      <c r="B26" s="1711" t="str">
        <f ca="1">IF(AW16="E","사용본거지","")</f>
        <v/>
      </c>
      <c r="C26" s="1711"/>
      <c r="D26" s="1711"/>
      <c r="E26" s="1711"/>
      <c r="F26" s="1716" t="str">
        <f ca="1">+AS15</f>
        <v/>
      </c>
      <c r="G26" s="1716"/>
      <c r="H26" s="1716"/>
      <c r="I26" s="1716"/>
      <c r="J26" s="1716"/>
      <c r="K26" s="1716"/>
      <c r="L26" s="1716"/>
      <c r="M26" s="1716"/>
      <c r="N26" s="1716"/>
      <c r="O26" s="1716"/>
      <c r="P26" s="1470" t="str">
        <f>IF(고객용견적!AE6=TRUE,렌터카견적내기!AS15,"")</f>
        <v/>
      </c>
      <c r="Q26" s="1470"/>
      <c r="R26" s="1470"/>
      <c r="S26" s="1470"/>
      <c r="T26" s="1470"/>
      <c r="U26" s="1470"/>
      <c r="V26" s="1470"/>
      <c r="W26" s="1470"/>
      <c r="X26" s="1470"/>
      <c r="Y26" s="1470"/>
      <c r="Z26" s="1470" t="str">
        <f>IF(고객용견적!AE7=TRUE,렌터카견적내기!AS15,"")</f>
        <v/>
      </c>
      <c r="AA26" s="1470"/>
      <c r="AB26" s="1470"/>
      <c r="AC26" s="1470"/>
      <c r="AD26" s="616"/>
      <c r="AE26" s="1461"/>
      <c r="AF26" s="1142" t="str">
        <f>IF(BC17=TRUE,"보증금(원)","보증율(%)")</f>
        <v>보증율(%)</v>
      </c>
      <c r="AG26" s="1709">
        <v>0</v>
      </c>
      <c r="AH26" s="1709"/>
      <c r="AI26" s="727">
        <v>0</v>
      </c>
      <c r="AJ26" s="727">
        <v>0</v>
      </c>
      <c r="AK26" s="935"/>
      <c r="AL26" s="932"/>
      <c r="AM26" s="687"/>
      <c r="AN26" s="708"/>
      <c r="AO26" s="728">
        <v>3</v>
      </c>
      <c r="AP26" s="1377">
        <v>2</v>
      </c>
      <c r="AQ26" s="1376">
        <v>2</v>
      </c>
      <c r="AR26" s="70"/>
      <c r="AS26" s="1025" t="str">
        <f ca="1">IF(AND(AO5=1,OR(AY6="현대",AY6="기아",AY6="제네시스")),"파츠 탁송","선택불가")</f>
        <v>선택불가</v>
      </c>
      <c r="AT26" s="1026">
        <f ca="1">IF(AT4=1,AS29,IF(AQ31="대상",AS29-(AS29*0.048),AS29))</f>
        <v>647300</v>
      </c>
      <c r="AU26" s="153"/>
      <c r="AV26" s="185"/>
      <c r="AW26" s="115" t="s">
        <v>6</v>
      </c>
      <c r="AX26" s="186">
        <f ca="1">IF(AO4=2,0,IF(AO4=4,'현대제조사탁송료(전기차too)'!T4,IF(AO4=5,128000,IF(AO4=6,'현대제조사탁송료(전기차too)'!U4,IF(AW13="D",AG16,0)))))</f>
        <v>0</v>
      </c>
      <c r="AY26" s="117">
        <v>0</v>
      </c>
      <c r="AZ26" s="68"/>
      <c r="BA26" s="1071" t="s">
        <v>269</v>
      </c>
      <c r="BB26" s="1072">
        <f ca="1">+BB25+F14</f>
        <v>0.82999080036798523</v>
      </c>
      <c r="BC26" s="188">
        <v>6</v>
      </c>
      <c r="BD26" s="187" t="s">
        <v>148</v>
      </c>
      <c r="BE26" s="89" t="s">
        <v>149</v>
      </c>
      <c r="BF26" s="89" t="s">
        <v>150</v>
      </c>
      <c r="BG26" s="90" t="s">
        <v>151</v>
      </c>
      <c r="BH26" s="68"/>
      <c r="BI26" s="199"/>
      <c r="BJ26" s="69" t="s">
        <v>270</v>
      </c>
      <c r="BK26" s="69" t="s">
        <v>271</v>
      </c>
      <c r="BL26" s="69"/>
      <c r="BM26" s="69"/>
    </row>
    <row r="27" spans="1:72" ht="21" customHeight="1" thickBot="1">
      <c r="A27" s="446"/>
      <c r="B27" s="729" t="str">
        <f ca="1">IF(AW16="e","전기차는 2년이내 차량 반납 및 계약 해지시 보조금이 환수됩니다.","")</f>
        <v/>
      </c>
      <c r="C27" s="730"/>
      <c r="D27" s="730"/>
      <c r="E27" s="730"/>
      <c r="F27" s="730"/>
      <c r="G27" s="730"/>
      <c r="H27" s="730"/>
      <c r="I27" s="730"/>
      <c r="J27" s="730"/>
      <c r="K27" s="730"/>
      <c r="L27" s="730"/>
      <c r="M27" s="730"/>
      <c r="N27" s="730"/>
      <c r="O27" s="731"/>
      <c r="P27" s="993" t="str">
        <f ca="1">IFERROR(IF(AND(AT4=1,AX28&gt;79999999),"법인업무용자동차번호판 발급대상으로 안내문 날인이 필요합니다.",""),"")</f>
        <v/>
      </c>
      <c r="Q27" s="730"/>
      <c r="R27" s="730"/>
      <c r="S27" s="730"/>
      <c r="T27" s="730"/>
      <c r="U27" s="730"/>
      <c r="V27" s="730"/>
      <c r="W27" s="730"/>
      <c r="X27" s="730"/>
      <c r="Y27" s="732"/>
      <c r="Z27" s="732"/>
      <c r="AA27" s="732"/>
      <c r="AB27" s="732"/>
      <c r="AC27" s="732"/>
      <c r="AD27" s="732"/>
      <c r="AE27" s="1461"/>
      <c r="AF27" s="1142" t="str">
        <f>IF(BC18=TRUE,"선납금(원)","선납율(%)")</f>
        <v>선납금(원)</v>
      </c>
      <c r="AG27" s="1709">
        <v>10000000</v>
      </c>
      <c r="AH27" s="1709"/>
      <c r="AI27" s="727">
        <v>0</v>
      </c>
      <c r="AJ27" s="727">
        <v>0</v>
      </c>
      <c r="AK27" s="935"/>
      <c r="AL27" s="932"/>
      <c r="AM27" s="733"/>
      <c r="AN27" s="708" t="s">
        <v>874</v>
      </c>
      <c r="AO27" s="709">
        <f ca="1">IF($AO$17=2,IF($AQ$17="승용",렌터카보험_수정!C16,IF($AQ$17="승합",렌터카보험_수정!D16,IF(AND(렌터카보험_수정!$E$5=1,$AQ$17="다인승"),렌터카보험_수정!E16,IF(AND(렌터카보험_수정!$E$5=2,$AQ$17="다인승"),렌터카보험_수정!F16)))),IF($AQ$17="승용",렌터카보험_수정!J16,IF($AQ$17="승합",렌터카보험_수정!K16,IF(AND(렌터카보험_수정!$E$5=1,$AQ$17="다인승"),렌터카보험_수정!L16,IF(AND(렌터카보험_수정!$E$5=2,$AQ$17="다인승"),렌터카보험_수정!M16)))))</f>
        <v>3522.6</v>
      </c>
      <c r="AP27" s="1371" t="str">
        <f ca="1">IF(AND(AT4=2,AT29="공제조합",AQ26=2),"다자녀할인 Y","대상아님")</f>
        <v>대상아님</v>
      </c>
      <c r="AQ27" s="734" t="s">
        <v>843</v>
      </c>
      <c r="AR27" s="70"/>
      <c r="AS27" s="1378">
        <f ca="1">AQ20-ROUNDUP(IF(AND(AM22=1,AT27="KB손보"),0,IF(AO17=1,0,IF(AND(AT29="공제조합",OR(BB12=1,BB12=2)),AQ20*0.059,IF(AND(AT29="공제조합",BB12=3),AQ20*0.039,0)))),-1)</f>
        <v>647300</v>
      </c>
      <c r="AT27" s="1119" t="str">
        <f ca="1">VLOOKUP(AW4,렌터카모델!D:AI,23,FALSE)</f>
        <v>KB손보</v>
      </c>
      <c r="AU27" s="78"/>
      <c r="AV27" s="175" t="s">
        <v>272</v>
      </c>
      <c r="AW27" s="137"/>
      <c r="AX27" s="176">
        <f ca="1">AX24+AX25+AX26</f>
        <v>41279787.335042253</v>
      </c>
      <c r="AY27" s="139">
        <f ca="1">AX28</f>
        <v>37527079</v>
      </c>
      <c r="AZ27" s="68"/>
      <c r="BA27" s="75"/>
      <c r="BB27" s="68"/>
      <c r="BC27" s="188" t="str">
        <f ca="1">IF(AW16="E","정비를선택해주세요!",IF($AW$13="d","프리미엄 플러스","수입차셀프"))</f>
        <v>프리미엄 플러스</v>
      </c>
      <c r="BD27" s="152" t="s">
        <v>158</v>
      </c>
      <c r="BE27" s="137"/>
      <c r="BF27" s="137"/>
      <c r="BG27" s="139" t="e">
        <f ca="1">ROUNDUP(SUM(BG28:BG35),-2)</f>
        <v>#VALUE!</v>
      </c>
      <c r="BH27" s="68"/>
      <c r="BI27" s="514" t="s">
        <v>273</v>
      </c>
      <c r="BJ27" s="189"/>
      <c r="BK27" s="189">
        <v>2E-3</v>
      </c>
      <c r="BL27" s="190">
        <v>0</v>
      </c>
      <c r="BM27" s="191">
        <v>0</v>
      </c>
    </row>
    <row r="28" spans="1:72" ht="24.95" customHeight="1" thickBot="1">
      <c r="A28" s="446"/>
      <c r="B28" s="735" t="str">
        <f>IF(AO5=1,"본 견적서는 본사출고 조건입니다.","본 견적서는 대리점출고 조건입니다. ")&amp;" 상기견적은 조세정책, 내부 가격변동에 의해 변경될 수 있으며 계약 체결시 확정됩니다."</f>
        <v>본 견적서는 대리점출고 조건입니다.  상기견적은 조세정책, 내부 가격변동에 의해 변경될 수 있으며 계약 체결시 확정됩니다.</v>
      </c>
      <c r="C28" s="736"/>
      <c r="D28" s="736"/>
      <c r="E28" s="736"/>
      <c r="F28" s="736"/>
      <c r="G28" s="736"/>
      <c r="H28" s="736"/>
      <c r="I28" s="736"/>
      <c r="J28" s="736"/>
      <c r="K28" s="736"/>
      <c r="L28" s="736"/>
      <c r="M28" s="736"/>
      <c r="N28" s="736"/>
      <c r="O28" s="736"/>
      <c r="P28" s="736"/>
      <c r="Q28" s="736"/>
      <c r="R28" s="736"/>
      <c r="S28" s="736"/>
      <c r="T28" s="736"/>
      <c r="U28" s="736"/>
      <c r="V28" s="736"/>
      <c r="W28" s="736"/>
      <c r="X28" s="736"/>
      <c r="Y28" s="736"/>
      <c r="Z28" s="737"/>
      <c r="AA28" s="737"/>
      <c r="AB28" s="737"/>
      <c r="AC28" s="737"/>
      <c r="AD28" s="737"/>
      <c r="AE28" s="1461"/>
      <c r="AF28" s="1142" t="s">
        <v>840</v>
      </c>
      <c r="AG28" s="1524">
        <v>0</v>
      </c>
      <c r="AH28" s="1524"/>
      <c r="AI28" s="738">
        <v>0</v>
      </c>
      <c r="AJ28" s="738">
        <v>0</v>
      </c>
      <c r="AK28" s="935"/>
      <c r="AL28" s="944"/>
      <c r="AM28" s="596"/>
      <c r="AN28" s="708" t="s">
        <v>875</v>
      </c>
      <c r="AO28" s="709">
        <f ca="1">IF($AO$17=2,IF($AQ$17="승용",렌터카보험_수정!C17,IF($AQ$17="승합",렌터카보험_수정!D17,IF(AND(렌터카보험_수정!$E$5=1,$AQ$17="다인승"),렌터카보험_수정!E17,IF(AND(렌터카보험_수정!$E$5=2,$AQ$17="다인승"),렌터카보험_수정!F17)))),IF($AQ$17="승용",렌터카보험_수정!J17,IF($AQ$17="승합",렌터카보험_수정!K17,IF(AND(렌터카보험_수정!$E$5=1,$AQ$17="다인승"),렌터카보험_수정!L17,IF(AND(렌터카보험_수정!$E$5=2,$AQ$17="다인승"),렌터카보험_수정!M17)))))</f>
        <v>5088.2</v>
      </c>
      <c r="AP28" s="929" t="str">
        <f ca="1">IF(AND(AT4=2,AT29="공제조합",AQ26=2),"다자녀할인 N","대상아님")</f>
        <v>대상아님</v>
      </c>
      <c r="AQ28" s="734" t="s">
        <v>844</v>
      </c>
      <c r="AR28" s="70"/>
      <c r="AS28" s="1379">
        <f ca="1">AQ20-ROUNDUP(IF(AND(AM22=1,AT27="KB손보"),0,IF(AO17=1,0,IF(AND(AT29="공제조합",OR(BB37=1,BB37=2)),AQ20*0.059,IF(AND(AT29="공제조합",BB37=3),AQ20*0.039,0)))),-1)</f>
        <v>647300</v>
      </c>
      <c r="AT28" s="1028" t="s">
        <v>1284</v>
      </c>
      <c r="AU28" s="112"/>
      <c r="AV28" s="184"/>
      <c r="AW28" s="115" t="s">
        <v>251</v>
      </c>
      <c r="AX28" s="119">
        <f ca="1">ROUND(AX27/1.1,0)</f>
        <v>37527079</v>
      </c>
      <c r="AY28" s="117"/>
      <c r="AZ28" s="68"/>
      <c r="BA28" s="1528" t="s">
        <v>200</v>
      </c>
      <c r="BB28" s="1529"/>
      <c r="BC28" s="188" t="str">
        <f ca="1">IF(AW16="E","정비를선택해주세요!",IF($AW$13="d","프리미엄","수입차셀프"))</f>
        <v>프리미엄</v>
      </c>
      <c r="BD28" s="128" t="s">
        <v>168</v>
      </c>
      <c r="BE28" s="115" t="s">
        <v>169</v>
      </c>
      <c r="BF28" s="116" t="e">
        <f ca="1">IF(BJ4=5,BF6,$AY$27+$AY$49-BF29-AX52)</f>
        <v>#VALUE!</v>
      </c>
      <c r="BG28" s="117" t="e">
        <f ca="1">ROUNDDOWN(PMT(BF41/12,BB29,-BF28,0),-2)</f>
        <v>#VALUE!</v>
      </c>
      <c r="BH28" s="68"/>
      <c r="BI28" s="515" t="s">
        <v>275</v>
      </c>
      <c r="BJ28" s="189"/>
      <c r="BK28" s="189">
        <v>4.2999999999999997E-2</v>
      </c>
      <c r="BL28" s="192">
        <v>0</v>
      </c>
      <c r="BM28" s="69"/>
    </row>
    <row r="29" spans="1:72" ht="24.95" customHeight="1" thickBot="1">
      <c r="A29" s="446"/>
      <c r="B29" s="739" t="s">
        <v>860</v>
      </c>
      <c r="C29" s="740"/>
      <c r="D29" s="740"/>
      <c r="E29" s="740"/>
      <c r="F29" s="740"/>
      <c r="G29" s="740"/>
      <c r="H29" s="740"/>
      <c r="I29" s="740"/>
      <c r="J29" s="740"/>
      <c r="K29" s="740"/>
      <c r="L29" s="740"/>
      <c r="M29" s="740"/>
      <c r="N29" s="740"/>
      <c r="O29" s="741"/>
      <c r="P29" s="740"/>
      <c r="Q29" s="740"/>
      <c r="R29" s="740"/>
      <c r="S29" s="740"/>
      <c r="T29" s="740"/>
      <c r="U29" s="740"/>
      <c r="V29" s="740"/>
      <c r="W29" s="740"/>
      <c r="X29" s="740"/>
      <c r="Y29" s="740"/>
      <c r="Z29" s="740"/>
      <c r="AA29" s="740"/>
      <c r="AB29" s="740"/>
      <c r="AC29" s="740"/>
      <c r="AD29" s="740"/>
      <c r="AE29" s="1461" t="s">
        <v>1332</v>
      </c>
      <c r="AF29" s="1142" t="s">
        <v>274</v>
      </c>
      <c r="AG29" s="1708">
        <f>IF((AG30+AG32)&lt;=BJ8,BJ8-(AG30+AG32),"※ 인센티브하향")</f>
        <v>0.09</v>
      </c>
      <c r="AH29" s="1708"/>
      <c r="AI29" s="742">
        <f>IF((AI30+AI32)&lt;=BJ8,BJ8-(AI30+AI32),"※ 인센티브하향")</f>
        <v>0.09</v>
      </c>
      <c r="AJ29" s="742">
        <f>IF((AJ30+AJ32)&lt;=BJ8,BJ8-(AJ30+AJ32),"※ 인센티브하향")</f>
        <v>0.09</v>
      </c>
      <c r="AK29" s="935"/>
      <c r="AL29" s="932"/>
      <c r="AM29" s="596"/>
      <c r="AN29" s="743" t="s">
        <v>876</v>
      </c>
      <c r="AO29" s="744">
        <f ca="1">IF($AO$17=2,IF($AQ$17="승용",렌터카보험_수정!C18,IF($AQ$17="승합",렌터카보험_수정!D18,IF(AND(렌터카보험_수정!$E$5=1,$AQ$17="다인승"),렌터카보험_수정!E18,IF(AND(렌터카보험_수정!$E$5=2,$AQ$17="다인승"),렌터카보험_수정!F18)))),IF($AQ$17="승용",렌터카보험_수정!J18,IF($AQ$17="승합",렌터카보험_수정!K18,IF(AND(렌터카보험_수정!$E$5=1,$AQ$17="다인승"),렌터카보험_수정!L18,IF(AND(렌터카보험_수정!$E$5=2,$AQ$17="다인승"),렌터카보험_수정!M18)))))</f>
        <v>9424.5</v>
      </c>
      <c r="AP29" s="1530" t="s">
        <v>276</v>
      </c>
      <c r="AQ29" s="1531"/>
      <c r="AR29" s="70"/>
      <c r="AS29" s="1379">
        <f ca="1">AQ20-ROUNDUP(IF(AND(AM22=1,AT27="KB손보"),0,IF(AO17=1,0,IF(AND(AT29="공제조합",OR(BB76=1,BB76=2)),AQ20*0.059,IF(AND(AT29="공제조합",BB76=3),AQ20*0.039,0)))),-1)</f>
        <v>647300</v>
      </c>
      <c r="AT29" s="1105" t="str">
        <f ca="1">IF(AW16="E","DB손해(전기)",IF(AT27="공제조합","공제조합",IF(AM22=1,"공제조합",IF(AO17=1,"공제조합",IF(AND(AO30&lt;15000,AT4=2),"KB손보","DB손해")))))</f>
        <v>KB손보</v>
      </c>
      <c r="AU29" s="153"/>
      <c r="AV29" s="184"/>
      <c r="AW29" s="115" t="s">
        <v>224</v>
      </c>
      <c r="AX29" s="119">
        <f ca="1">AX27-AX28</f>
        <v>3752708.3350422531</v>
      </c>
      <c r="AY29" s="117"/>
      <c r="AZ29" s="68"/>
      <c r="BA29" s="528">
        <v>5</v>
      </c>
      <c r="BB29" s="522">
        <f>IF(BJ4=5,BB4,INDEX(BA30:BA36,BA29))</f>
        <v>48</v>
      </c>
      <c r="BC29" s="188" t="str">
        <f ca="1">IF(AW16="E","정비를선택해주세요!",IF($AW$13="d","스탠다드 플러스","수입차셀프"))</f>
        <v>스탠다드 플러스</v>
      </c>
      <c r="BD29" s="128" t="s">
        <v>175</v>
      </c>
      <c r="BE29" s="115" t="s">
        <v>176</v>
      </c>
      <c r="BF29" s="119" t="e">
        <f>ROUNDUP(IF(BJ4=5,BF7,BB43/1.1),-4)</f>
        <v>#VALUE!</v>
      </c>
      <c r="BG29" s="117" t="e">
        <f ca="1">ROUNDDOWN(BF29*BF41/12,-2)</f>
        <v>#VALUE!</v>
      </c>
      <c r="BH29" s="193"/>
      <c r="BI29" s="514" t="s">
        <v>277</v>
      </c>
      <c r="BJ29" s="194" t="s">
        <v>278</v>
      </c>
      <c r="BK29" s="194">
        <v>0.04</v>
      </c>
      <c r="BL29" s="179" t="s">
        <v>279</v>
      </c>
      <c r="BM29" s="69"/>
    </row>
    <row r="30" spans="1:72" ht="21.75" customHeight="1" thickBot="1">
      <c r="A30" s="446"/>
      <c r="B30" s="739" t="s">
        <v>855</v>
      </c>
      <c r="C30" s="739"/>
      <c r="D30" s="739"/>
      <c r="E30" s="739"/>
      <c r="F30" s="739"/>
      <c r="G30" s="739"/>
      <c r="H30" s="739"/>
      <c r="I30" s="739"/>
      <c r="J30" s="739"/>
      <c r="K30" s="739"/>
      <c r="L30" s="739"/>
      <c r="M30" s="739"/>
      <c r="N30" s="739"/>
      <c r="O30" s="739"/>
      <c r="P30" s="739"/>
      <c r="Q30" s="739"/>
      <c r="R30" s="739"/>
      <c r="S30" s="739"/>
      <c r="T30" s="739"/>
      <c r="U30" s="739"/>
      <c r="V30" s="739"/>
      <c r="W30" s="739"/>
      <c r="X30" s="739"/>
      <c r="Y30" s="739"/>
      <c r="Z30" s="739"/>
      <c r="AA30" s="739"/>
      <c r="AB30" s="739"/>
      <c r="AC30" s="739"/>
      <c r="AD30" s="745"/>
      <c r="AE30" s="1461"/>
      <c r="AF30" s="1707" t="s">
        <v>852</v>
      </c>
      <c r="AG30" s="1705">
        <v>0.04</v>
      </c>
      <c r="AH30" s="1705"/>
      <c r="AI30" s="746">
        <v>0.04</v>
      </c>
      <c r="AJ30" s="746">
        <v>0.04</v>
      </c>
      <c r="AK30" s="935"/>
      <c r="AL30" s="932"/>
      <c r="AM30" s="1099">
        <v>1</v>
      </c>
      <c r="AN30" s="747" t="s">
        <v>280</v>
      </c>
      <c r="AO30" s="748">
        <f ca="1">IF($AO$17=2,IF($AQ$17="승용",렌터카보험_수정!C19,IF($AQ$17="승합",렌터카보험_수정!D19,IF(AND(렌터카보험_수정!$E$5=1,$AQ$17="다인승"),렌터카보험_수정!E19,IF(AND(렌터카보험_수정!$E$5=2,$AQ$17="다인승"),렌터카보험_수정!F19)))),IF($AQ$17="승용",렌터카보험_수정!J19,IF($AQ$17="승합",렌터카보험_수정!K19,IF(AND(렌터카보험_수정!$E$5=1,$AQ$17="다인승"),렌터카보험_수정!L19,IF(AND(렌터카보험_수정!$E$5=2,$AQ$17="다인승"),렌터카보험_수정!M19)))))</f>
        <v>2163</v>
      </c>
      <c r="AP30" s="749">
        <f>IF(AO5=1,VLOOKUP(AW4,렌터카모델!D:AI,27,FALSE),0)</f>
        <v>0</v>
      </c>
      <c r="AQ30" s="750">
        <f>ROUND(AP30/1.1,-1)</f>
        <v>0</v>
      </c>
      <c r="AR30" s="70"/>
      <c r="AT30" s="201"/>
      <c r="AU30" s="195"/>
      <c r="AV30" s="175" t="s">
        <v>281</v>
      </c>
      <c r="AW30" s="137" t="s">
        <v>282</v>
      </c>
      <c r="AX30" s="137"/>
      <c r="AY30" s="139">
        <f ca="1">SUM(AY31:AY33)</f>
        <v>1529880</v>
      </c>
      <c r="AZ30" s="68"/>
      <c r="BA30" s="516">
        <v>12</v>
      </c>
      <c r="BB30" s="519">
        <v>50</v>
      </c>
      <c r="BC30" s="188" t="str">
        <f ca="1">IF(AW16="E","정비를선택해주세요!",IF($AW$13="d","스탠다드","수입차셀프"))</f>
        <v>스탠다드</v>
      </c>
      <c r="BD30" s="128" t="s">
        <v>183</v>
      </c>
      <c r="BE30" s="115" t="s">
        <v>184</v>
      </c>
      <c r="BF30" s="116">
        <f ca="1">IF(BJ4=5,BF8,$AY$30+$AY$34)</f>
        <v>1569880</v>
      </c>
      <c r="BG30" s="117" t="e">
        <f ca="1">ROUNDDOWN(PMT(BF41/12,BB29,-BF30,0),-2)</f>
        <v>#VALUE!</v>
      </c>
      <c r="BH30" s="68"/>
      <c r="BI30" s="514" t="s">
        <v>283</v>
      </c>
      <c r="BJ30" s="194" t="s">
        <v>284</v>
      </c>
      <c r="BK30" s="194">
        <v>0.04</v>
      </c>
      <c r="BL30" s="179" t="s">
        <v>279</v>
      </c>
      <c r="BM30" s="69"/>
    </row>
    <row r="31" spans="1:72" ht="22.5" customHeight="1" thickBot="1">
      <c r="A31" s="446"/>
      <c r="B31" s="1532" t="str">
        <f>IF(BI12=2,"또한, 할부형렌터카 상품은 만기 인수가가 11,000원 (VAT 포함)임을 알려드립니다.","대출 취소로 인한 보증금(선수금) 환불은 렌터카 고객(법인)명의 예금주 계좌로만 가능합니다. (타인계좌 환불 불가)")</f>
        <v>대출 취소로 인한 보증금(선수금) 환불은 렌터카 고객(법인)명의 예금주 계좌로만 가능합니다. (타인계좌 환불 불가)</v>
      </c>
      <c r="C31" s="1532"/>
      <c r="D31" s="1532"/>
      <c r="E31" s="1532"/>
      <c r="F31" s="1532"/>
      <c r="G31" s="1532"/>
      <c r="H31" s="1532"/>
      <c r="I31" s="1532"/>
      <c r="J31" s="1532"/>
      <c r="K31" s="1532"/>
      <c r="L31" s="1532"/>
      <c r="M31" s="1532"/>
      <c r="N31" s="1532"/>
      <c r="O31" s="1532"/>
      <c r="P31" s="1532"/>
      <c r="Q31" s="1532"/>
      <c r="R31" s="1532"/>
      <c r="S31" s="1532"/>
      <c r="T31" s="1532"/>
      <c r="U31" s="1532"/>
      <c r="V31" s="1532"/>
      <c r="W31" s="1532"/>
      <c r="X31" s="1532"/>
      <c r="Y31" s="1532"/>
      <c r="Z31" s="1532"/>
      <c r="AA31" s="1532"/>
      <c r="AB31" s="1532"/>
      <c r="AC31" s="1532"/>
      <c r="AD31" s="751"/>
      <c r="AE31" s="1461"/>
      <c r="AF31" s="1707"/>
      <c r="AG31" s="1706">
        <f ca="1">IF(AW16="E",AY54*AG30,$AB$9*AG30)</f>
        <v>1739200</v>
      </c>
      <c r="AH31" s="1706"/>
      <c r="AI31" s="752">
        <f ca="1">IF(AW16="E",AY55*AI30,$AB$9*AI30)</f>
        <v>1739200</v>
      </c>
      <c r="AJ31" s="752">
        <f ca="1">IF(AW16="E",AY56*AJ30,$AB$9*AJ30)</f>
        <v>1739200</v>
      </c>
      <c r="AK31" s="935"/>
      <c r="AL31" s="932"/>
      <c r="AM31" s="1100" t="s">
        <v>927</v>
      </c>
      <c r="AN31" s="747" t="s">
        <v>285</v>
      </c>
      <c r="AO31" s="748"/>
      <c r="AP31" s="1036" t="s">
        <v>1778</v>
      </c>
      <c r="AQ31" s="1370" t="str">
        <f ca="1">IF(AND(AP26=1,AP27="다자녀할인 Y"),"대상","비대상")</f>
        <v>비대상</v>
      </c>
      <c r="AR31" s="70"/>
      <c r="AS31" s="71"/>
      <c r="AT31" s="70"/>
      <c r="AU31" s="197"/>
      <c r="AV31" s="184"/>
      <c r="AW31" s="115" t="s">
        <v>286</v>
      </c>
      <c r="AX31" s="119">
        <f ca="1">IF(AND(AW16="E",ROUNDDOWN(AX28*4%,-1)-주요기준!C46&gt;0),ROUNDDOWN(AX28*4%,-1)-주요기준!C46,IF(AND(AW16="E",ROUNDDOWN(AX28*4%,-1)-주요기준!C46&lt;0),0,IF(ROUNDDOWN(AX28*4%,-1)-IF(AND(AW16="T",AW12&lt;3000),주요기준!C45,0)&lt;0,0,ROUNDDOWN(AX28*4%,-1)-IF(AND(AY7=9,AY9="24년",AW16="T",AW12&lt;3000),주요기준!C45,0))))</f>
        <v>1501080</v>
      </c>
      <c r="AY31" s="117">
        <f ca="1">AX31</f>
        <v>1501080</v>
      </c>
      <c r="AZ31" s="68"/>
      <c r="BA31" s="516">
        <v>24</v>
      </c>
      <c r="BB31" s="519">
        <v>40</v>
      </c>
      <c r="BC31" s="188" t="str">
        <f ca="1">IF(AW16="E","정비를선택해주세요!",IF($AW$13="d","베이직","수입차셀프"))</f>
        <v>베이직</v>
      </c>
      <c r="BD31" s="128" t="s">
        <v>192</v>
      </c>
      <c r="BE31" s="115" t="s">
        <v>193</v>
      </c>
      <c r="BF31" s="119">
        <f ca="1">IF(AW16="E",20000,ROUNDDOWN($AW$12*$AQ$21,-1))</f>
        <v>28760</v>
      </c>
      <c r="BG31" s="117">
        <f ca="1">ROUNDDOWN(BF31/12,-2)</f>
        <v>2300</v>
      </c>
      <c r="BH31" s="68"/>
      <c r="BI31"/>
      <c r="BJ31"/>
      <c r="BM31" s="69"/>
    </row>
    <row r="32" spans="1:72" ht="24.75" customHeight="1" thickBot="1">
      <c r="A32" s="446"/>
      <c r="B32" s="1557" t="s">
        <v>885</v>
      </c>
      <c r="C32" s="1558"/>
      <c r="D32" s="753"/>
      <c r="E32" s="1703" t="str">
        <f>IF(AT4=1,"법 인","개 인")</f>
        <v>개 인</v>
      </c>
      <c r="F32" s="1703"/>
      <c r="G32" s="753"/>
      <c r="H32" s="1527" t="s">
        <v>895</v>
      </c>
      <c r="I32" s="1527"/>
      <c r="J32" s="1703" t="str">
        <f>INDEX(AO18:AO19,AO17)</f>
        <v>연령【26세이상】</v>
      </c>
      <c r="K32" s="1703"/>
      <c r="L32" s="1703"/>
      <c r="M32" s="1703"/>
      <c r="N32" s="1527" t="s">
        <v>268</v>
      </c>
      <c r="O32" s="1527"/>
      <c r="P32" s="1703" t="str">
        <f>IF(AQ26=1,"Y","N")</f>
        <v>N</v>
      </c>
      <c r="Q32" s="1703"/>
      <c r="R32" s="1527" t="s">
        <v>292</v>
      </c>
      <c r="S32" s="1527"/>
      <c r="T32" s="1527"/>
      <c r="U32" s="1703" t="s">
        <v>293</v>
      </c>
      <c r="V32" s="1703"/>
      <c r="W32" s="1703"/>
      <c r="X32" s="945"/>
      <c r="Y32" s="946"/>
      <c r="Z32" s="777"/>
      <c r="AA32" s="928"/>
      <c r="AB32" s="928"/>
      <c r="AC32" s="928"/>
      <c r="AD32" s="754"/>
      <c r="AE32" s="1461"/>
      <c r="AF32" s="1707" t="s">
        <v>853</v>
      </c>
      <c r="AG32" s="1705">
        <v>0</v>
      </c>
      <c r="AH32" s="1705"/>
      <c r="AI32" s="746">
        <v>0</v>
      </c>
      <c r="AJ32" s="746">
        <v>0</v>
      </c>
      <c r="AK32" s="935"/>
      <c r="AL32" s="932"/>
      <c r="AM32" s="1100" t="s">
        <v>928</v>
      </c>
      <c r="AN32" s="747" t="s">
        <v>288</v>
      </c>
      <c r="AO32" s="748">
        <f ca="1">IF(AND(렌터카견적내기!$AW$16="E",렌터카보험_수정!$C$7=2,렌터카견적내기!AO17=2),렌터카보험_수정!R134,IF(AND(렌터카견적내기!$AW$16="E",렌터카보험_수정!$C$7=1,렌터카견적내기!AO17=2),렌터카보험_수정!AF134,IF(AND(렌터카견적내기!$AW$16="E",렌터카보험_수정!$C$7=2,렌터카견적내기!AO17=2),렌터카보험_수정!S123,IF(AND(렌터카견적내기!$AW$16="E",렌터카보험_수정!$C$7=1,렌터카견적내기!AO17=2),렌터카보험_수정!AG134,IF(AND(렌터카견적내기!$AW$16="E",렌터카보험_수정!$C$7=2,렌터카견적내기!AO17=2),렌터카보험_수정!T134,IF(AND(렌터카견적내기!$AW$16="E",렌터카보험_수정!$C$7=1,렌터카견적내기!AO17=2),렌터카보험_수정!AH134,IF(AND(렌터카견적내기!$AW$16="E",렌터카보험_수정!$C$7=2,렌터카견적내기!AO17=2),렌터카보험_수정!U134,IF(AND(렌터카견적내기!$AW$16="E",렌터카보험_수정!$C$7=1,렌터카견적내기!AO17=2),렌터카보험_수정!AI134,IF(AND(렌터카견적내기!$AW$16="E",렌터카보험_수정!$C$7=2,렌터카견적내기!AO17=1),렌터카보험_수정!R151,IF(AND(렌터카견적내기!$AW$16="E",렌터카보험_수정!$C$7=1,렌터카견적내기!AO17=1),렌터카보험_수정!AF151,IF(AND(렌터카견적내기!$AW$16="E",렌터카보험_수정!$C$7=2,렌터카견적내기!AO17=1),렌터카보험_수정!S151,IF(AND(렌터카견적내기!$AW$16="E",렌터카보험_수정!$C$7=1,렌터카견적내기!AO17=1),렌터카보험_수정!AG151,IF(AND(렌터카견적내기!$AW$16="E",렌터카보험_수정!$C$7=2,렌터카견적내기!AO17=1),렌터카보험_수정!T151,IF(AND(렌터카견적내기!$AW$16="E",렌터카보험_수정!$C$7=1,렌터카견적내기!AO17=1),렌터카보험_수정!AH151,IF(AND(렌터카견적내기!$AW$16="E",렌터카보험_수정!$C$7=2,렌터카견적내기!AO17=1),렌터카보험_수정!U151,IF(AND(렌터카견적내기!$AW$16="E",렌터카보험_수정!$C$7=1,렌터카견적내기!AO17=1),렌터카보험_수정!AI151,"0"))))))))))))))))*(AP2-AW7)/100</f>
        <v>0</v>
      </c>
      <c r="AP32" s="1036" t="s">
        <v>289</v>
      </c>
      <c r="AQ32" s="1035" t="str">
        <f ca="1">IF(AT27="공제조합","대상","비대상")</f>
        <v>비대상</v>
      </c>
      <c r="AR32" s="70"/>
      <c r="AS32" s="71"/>
      <c r="AT32" s="70"/>
      <c r="AU32" s="198"/>
      <c r="AV32" s="184"/>
      <c r="AW32" s="115" t="s">
        <v>290</v>
      </c>
      <c r="AX32" s="119">
        <v>0</v>
      </c>
      <c r="AY32" s="117">
        <f>AX32</f>
        <v>0</v>
      </c>
      <c r="AZ32" s="68"/>
      <c r="BA32" s="516">
        <v>36</v>
      </c>
      <c r="BB32" s="519">
        <v>30</v>
      </c>
      <c r="BC32" s="67" t="str">
        <f ca="1">IF(AW16="E","정비를선택해주세요!",IF($AW$13="d","셀프","수입차셀프"))</f>
        <v>셀프</v>
      </c>
      <c r="BD32" s="128" t="s">
        <v>198</v>
      </c>
      <c r="BE32" s="115" t="s">
        <v>199</v>
      </c>
      <c r="BF32" s="116">
        <f ca="1">AT24</f>
        <v>647300</v>
      </c>
      <c r="BG32" s="117">
        <f ca="1">ROUNDDOWN(BF32/12,-2)</f>
        <v>53900</v>
      </c>
      <c r="BH32" s="68"/>
      <c r="BI32" s="120"/>
      <c r="BJ32" s="120"/>
      <c r="BK32" s="199"/>
      <c r="BL32" s="199"/>
      <c r="BM32" s="69"/>
    </row>
    <row r="33" spans="1:65" ht="20.25" customHeight="1" thickBot="1">
      <c r="A33" s="446"/>
      <c r="B33" s="1559"/>
      <c r="C33" s="1560"/>
      <c r="D33" s="755"/>
      <c r="E33" s="1507" t="str">
        <f>INDEX(AN23:AN25,AO22)</f>
        <v>대물조건【1억원】</v>
      </c>
      <c r="F33" s="1507"/>
      <c r="G33" s="1507"/>
      <c r="H33" s="1507"/>
      <c r="I33" s="1507"/>
      <c r="J33" s="1714" t="str">
        <f>INDEX(AN27:AN29,AO26)</f>
        <v>자기신체【1억원】</v>
      </c>
      <c r="K33" s="1714"/>
      <c r="L33" s="1715"/>
      <c r="M33" s="1715"/>
      <c r="N33" s="1713" t="s">
        <v>299</v>
      </c>
      <c r="O33" s="1713"/>
      <c r="P33" s="1710" t="s">
        <v>265</v>
      </c>
      <c r="Q33" s="1710"/>
      <c r="R33" s="1713" t="s">
        <v>300</v>
      </c>
      <c r="S33" s="1713"/>
      <c r="T33" s="1713"/>
      <c r="U33" s="1565" t="str">
        <f ca="1">IF(AW16="E","손해액 20%(5~50만원)","30만원")</f>
        <v>30만원</v>
      </c>
      <c r="V33" s="1565"/>
      <c r="W33" s="1565"/>
      <c r="X33" s="1565"/>
      <c r="Y33" s="1565"/>
      <c r="Z33" s="777"/>
      <c r="AA33" s="928"/>
      <c r="AB33" s="928"/>
      <c r="AC33" s="928"/>
      <c r="AD33" s="754"/>
      <c r="AE33" s="1461"/>
      <c r="AF33" s="1707"/>
      <c r="AG33" s="1491">
        <f ca="1">IF(AW16="E",AY54*AG32,$AB$9*AG32)</f>
        <v>0</v>
      </c>
      <c r="AH33" s="1491"/>
      <c r="AI33" s="655">
        <f ca="1">IF(AW16="E",AY55*AI32,$AB$9*AI32)</f>
        <v>0</v>
      </c>
      <c r="AJ33" s="655">
        <f ca="1">IF(AW16="E",AY55*AJ32,$AB$9*AJ32)</f>
        <v>0</v>
      </c>
      <c r="AK33" s="935"/>
      <c r="AL33" s="932"/>
      <c r="AM33" s="1100" t="s">
        <v>929</v>
      </c>
      <c r="AN33" s="756" t="s">
        <v>207</v>
      </c>
      <c r="AO33" s="757">
        <f ca="1">IF(AW16="E",0,IF($AW$13="D",IF($AO$17=2,IF($AQ$17="승용",렌터카보험_수정!C25,IF($AQ$17="승합",렌터카보험_수정!D25,IF($AQ$17="다인승",렌터카보험_수정!E25))),IF($AQ$17="승용",렌터카보험_수정!J25,IF($AQ$17="승합",렌터카보험_수정!K25,IF($AQ$17="다인승",렌터카보험_수정!L25)))),0)*$AX$28)</f>
        <v>300216.63199999998</v>
      </c>
      <c r="AP33" s="1036" t="s">
        <v>296</v>
      </c>
      <c r="AQ33" s="1035" t="str">
        <f ca="1">IF(AND(AJ4=" MyCAR_카드연결",AN10=TRUE),"대상","비대상")</f>
        <v>비대상</v>
      </c>
      <c r="AR33" s="70"/>
      <c r="AS33" s="71"/>
      <c r="AT33" s="201"/>
      <c r="AU33" s="70">
        <f ca="1">IF(AND(AW16="E",AT14=1),28000,IF(AND(AW16="E",AT14=2),22000,IF(AND(AW16="E",AT14=3),24000,IF(AND(AW16="E",AT14=4),24100,IF(AND(AW16="E",AT14=5),23400,IF(AND(AW16="E",AT14=6),33000,IF(AND(AO4=1,AS12="오토클릭",AY6="쉐보레"),31800,IF(AND(AO4=1,AS12="오토클릭",AY6="르노코리아"),31800,IF(AND(AO4=1,AS12="오토클릭",OR(AY6="현대",AY6="기아",AY6="제네시스",AY6="KG모빌리티")),28800,23400)))))))))</f>
        <v>28800</v>
      </c>
      <c r="AV33" s="185"/>
      <c r="AW33" s="115" t="s">
        <v>297</v>
      </c>
      <c r="AX33" s="1288">
        <f ca="1">IF(AND(AW16="E",AT14=1),28000,IF(AND(AW16="E",AT14=2),22000,IF(AND(AW16="E",AT14=3),24000,IF(AND(AW16="E",AT14=4),24100,IF(AND(AW16="E",AT14=5),23400,IF(AND(AW16="E",AT14=6),33000,IF(AND(AO4=1,AS12="오토클릭",AY6="쉐보레"),주요기준!D60+주요기준!E60,IF(AND(AO4=1,AS12="오토클릭",AY6="르노코리아"),주요기준!D60+주요기준!E60,IF(AND(AO4=1,AS12="오토클릭",OR(AY6="현대",AY6="기아",AY6="제네시스",AY6="KG모빌리티")),주요기준!D59+주요기준!E59,주요기준!D53+주요기준!E53)))))))))</f>
        <v>28800</v>
      </c>
      <c r="AY33" s="117">
        <f ca="1">AX33</f>
        <v>28800</v>
      </c>
      <c r="AZ33" s="68"/>
      <c r="BA33" s="516">
        <v>42</v>
      </c>
      <c r="BB33" s="519">
        <v>25</v>
      </c>
      <c r="BC33" s="67" t="str">
        <f ca="1">IF(AW16="E","e-Basic",IF($AW$13="d","정비를선택해주세요!","수입차셀프"))</f>
        <v>정비를선택해주세요!</v>
      </c>
      <c r="BD33" s="128" t="s">
        <v>210</v>
      </c>
      <c r="BE33" s="115" t="s">
        <v>207</v>
      </c>
      <c r="BF33" s="116">
        <f ca="1">$AO$33</f>
        <v>300216.63199999998</v>
      </c>
      <c r="BG33" s="117">
        <v>0</v>
      </c>
      <c r="BH33" s="68"/>
      <c r="BI33" s="120"/>
      <c r="BJ33" s="120"/>
      <c r="BK33" s="199"/>
      <c r="BL33" s="199"/>
      <c r="BM33" s="69"/>
    </row>
    <row r="34" spans="1:65" ht="24" customHeight="1" thickBot="1">
      <c r="A34" s="449"/>
      <c r="B34" s="1513" t="s">
        <v>849</v>
      </c>
      <c r="C34" s="1514"/>
      <c r="D34" s="758" t="s">
        <v>295</v>
      </c>
      <c r="E34" s="947"/>
      <c r="F34" s="759"/>
      <c r="G34" s="948"/>
      <c r="H34" s="948"/>
      <c r="I34" s="948"/>
      <c r="J34" s="760"/>
      <c r="K34" s="761"/>
      <c r="L34" s="762"/>
      <c r="M34" s="949"/>
      <c r="N34" s="763"/>
      <c r="O34" s="762"/>
      <c r="P34" s="949"/>
      <c r="Q34" s="762"/>
      <c r="R34" s="949"/>
      <c r="S34" s="950"/>
      <c r="T34" s="764"/>
      <c r="U34" s="764"/>
      <c r="V34" s="765"/>
      <c r="W34" s="951"/>
      <c r="X34" s="765"/>
      <c r="Y34" s="950"/>
      <c r="Z34" s="928"/>
      <c r="AA34" s="928"/>
      <c r="AB34" s="766"/>
      <c r="AC34" s="766"/>
      <c r="AD34" s="754"/>
      <c r="AE34" s="1461" t="s">
        <v>1333</v>
      </c>
      <c r="AF34" s="1142" t="s">
        <v>143</v>
      </c>
      <c r="AG34" s="1506">
        <f ca="1">IF(BD21=FALSE,BG20,BG21)</f>
        <v>6.6000000000000003E-2</v>
      </c>
      <c r="AH34" s="1506"/>
      <c r="AI34" s="767" t="str">
        <f ca="1">IFERROR(IF(BD21=FALSE,BG42,BG43),"미선택")</f>
        <v>미선택</v>
      </c>
      <c r="AJ34" s="767" t="str">
        <f ca="1">IFERROR(IF(BD21=FALSE,BG84,BG85),"미선택")</f>
        <v>미선택</v>
      </c>
      <c r="AK34" s="935"/>
      <c r="AL34" s="932"/>
      <c r="AM34" s="1101" t="s">
        <v>930</v>
      </c>
      <c r="AN34" s="664" t="s">
        <v>301</v>
      </c>
      <c r="AO34" s="1034">
        <v>15000</v>
      </c>
      <c r="AP34" s="1036" t="s">
        <v>302</v>
      </c>
      <c r="AQ34" s="1035" t="str">
        <f ca="1">IF(AQ35="대상","대상",IF(AQ32="대상","대상",IF(AQ33="대상","대상","비대상")))</f>
        <v>비대상</v>
      </c>
      <c r="AR34" s="70"/>
      <c r="AS34" s="71"/>
      <c r="AT34" s="70"/>
      <c r="AU34" s="70"/>
      <c r="AV34" s="1568" t="s">
        <v>303</v>
      </c>
      <c r="AW34" s="137" t="s">
        <v>282</v>
      </c>
      <c r="AX34" s="202">
        <f ca="1">SUM(AX35:AX45)+AP30</f>
        <v>44000</v>
      </c>
      <c r="AY34" s="139">
        <f ca="1">SUM(AY35:AY45,AQ30)</f>
        <v>40000</v>
      </c>
      <c r="AZ34" s="68"/>
      <c r="BA34" s="516">
        <v>48</v>
      </c>
      <c r="BB34" s="519">
        <v>20</v>
      </c>
      <c r="BC34" s="203" t="str">
        <f ca="1">IF(AW16="E","e-Self",IF($AW$13="d","정비를선택해주세요!","수입차셀프"))</f>
        <v>정비를선택해주세요!</v>
      </c>
      <c r="BD34" s="128"/>
      <c r="BE34" s="115" t="s">
        <v>211</v>
      </c>
      <c r="BF34" s="119">
        <f ca="1">IF(AW13="D",정비!BR27,정비!AA3)</f>
        <v>5479.166666666667</v>
      </c>
      <c r="BG34" s="117">
        <f ca="1">ROUNDDOWN((BF33/12)+BF34,-2)</f>
        <v>30400</v>
      </c>
      <c r="BI34" s="120"/>
      <c r="BJ34" s="120"/>
      <c r="BK34" s="199"/>
      <c r="BL34" s="199"/>
      <c r="BM34" s="69"/>
    </row>
    <row r="35" spans="1:65" ht="24.95" customHeight="1" thickBot="1">
      <c r="A35" s="446"/>
      <c r="B35" s="1515"/>
      <c r="C35" s="1516"/>
      <c r="D35" s="768" t="s">
        <v>856</v>
      </c>
      <c r="E35" s="952"/>
      <c r="F35" s="769"/>
      <c r="G35" s="953"/>
      <c r="H35" s="953"/>
      <c r="I35" s="953"/>
      <c r="J35" s="770"/>
      <c r="K35" s="771"/>
      <c r="L35" s="772"/>
      <c r="M35" s="954"/>
      <c r="N35" s="773"/>
      <c r="O35" s="772"/>
      <c r="P35" s="954"/>
      <c r="Q35" s="772"/>
      <c r="R35" s="954"/>
      <c r="S35" s="955"/>
      <c r="T35" s="774"/>
      <c r="U35" s="774"/>
      <c r="V35" s="775"/>
      <c r="W35" s="955"/>
      <c r="X35" s="775"/>
      <c r="Y35" s="955"/>
      <c r="Z35" s="928"/>
      <c r="AA35" s="928"/>
      <c r="AB35" s="766"/>
      <c r="AC35" s="766"/>
      <c r="AD35" s="754"/>
      <c r="AE35" s="1461"/>
      <c r="AF35" s="1143" t="s">
        <v>287</v>
      </c>
      <c r="AG35" s="1506">
        <f ca="1">BF19</f>
        <v>7.4900000000000008E-2</v>
      </c>
      <c r="AH35" s="1506"/>
      <c r="AI35" s="767" t="str">
        <f ca="1">IFERROR(IF(BJ4=5,#REF!,BF41),"미선택")</f>
        <v>미선택</v>
      </c>
      <c r="AJ35" s="767" t="str">
        <f ca="1">IFERROR(IF(BJ4=5,#REF!,BF83),"미선택")</f>
        <v>미선택</v>
      </c>
      <c r="AK35" s="935"/>
      <c r="AL35" s="932"/>
      <c r="AM35" s="1100" t="str">
        <f>IF(AM30=2,TRUE,"")</f>
        <v/>
      </c>
      <c r="AN35" s="617" t="s">
        <v>304</v>
      </c>
      <c r="AO35" s="776"/>
      <c r="AP35" s="1423" t="s">
        <v>305</v>
      </c>
      <c r="AQ35" s="1424" t="str">
        <f ca="1">IF(AND(AO17=2,AT4=2,AQ32="대상"),"대상","비대상")</f>
        <v>비대상</v>
      </c>
      <c r="AR35" s="70"/>
      <c r="AS35" s="71"/>
      <c r="AT35" s="70"/>
      <c r="AU35" s="183">
        <f ca="1">IF(AND(AW16="E",AO4=1,AT10="유림로지텍"),55000,IF(AND(AW16="E",AO4=1,AT10="HL홀딩스"),47000,IF(AND(AW16="E",AT10="유림로지텍"),49500,IF(AND(AW16="E",AT10="HL홀딩스"),26000,IF(AND(렌터카견적내기!$AO$4=1,렌터카견적내기!$AO$3=3),44000,IF(AND(AO5=1,AO4=2,AT10="HL홀딩스"),26000,IF(AND(AO5=1,AO4=3,AT10="HL홀딩스"),26000,IF(AND(AO5=1,AO4=1,AT10="HL홀딩스"),47000,IF(AND(AO5=2,AS12="HL홀딩스"),26000,IF(AO4=1,49500,27500))))))))))</f>
        <v>44000</v>
      </c>
      <c r="AV35" s="1569"/>
      <c r="AW35" s="115" t="s">
        <v>306</v>
      </c>
      <c r="AX35" s="119">
        <f ca="1">IF(AND(AW16="E",AO4=1,AT10="유림로지텍"),주요기준!C64,IF(AND(AW16="E",AO4=1,AT10="HL홀딩스"),주요기준!C67,IF(AND(AW16="E",AT10="유림로지텍"),주요기준!C63,IF(AND(AW16="E",AT10="HL홀딩스"),주요기준!C66,IF(AND($AO$4=1,$AO$3=3),주요기준!C59,IF(AND(AO5=1,AO4=2,AT10="HL홀딩스"),주요기준!C56,IF(AND(AO5=1,AO4=3,AT10="HL홀딩스"),주요기준!C56,IF(AND(AO5=1,AO4=1,AT10="HL홀딩스"),주요기준!C57,IF(AND(AO5=2,AS12="HL홀딩스"),주요기준!C56,IF(AO4=1,주요기준!C54,주요기준!C53))))))))))</f>
        <v>44000</v>
      </c>
      <c r="AY35" s="117">
        <f ca="1">ROUND(AX35/1.1,-1)</f>
        <v>40000</v>
      </c>
      <c r="AZ35" s="68"/>
      <c r="BA35" s="516">
        <v>54</v>
      </c>
      <c r="BB35" s="519">
        <v>16</v>
      </c>
      <c r="BC35" s="204" t="str">
        <f ca="1">BB29&amp;INDEX(BC27:BC34,BC26)</f>
        <v>48셀프</v>
      </c>
      <c r="BD35" s="205"/>
      <c r="BE35" s="115" t="s">
        <v>218</v>
      </c>
      <c r="BF35" s="119">
        <v>0</v>
      </c>
      <c r="BG35" s="117">
        <f>ROUNDDOWN(BF35/12,-2)</f>
        <v>0</v>
      </c>
      <c r="BH35" s="68"/>
      <c r="BI35" s="120"/>
      <c r="BJ35"/>
    </row>
    <row r="36" spans="1:65" ht="24.95" customHeight="1" thickBot="1">
      <c r="A36" s="450"/>
      <c r="B36" s="739" t="s">
        <v>1270</v>
      </c>
      <c r="C36" s="938"/>
      <c r="D36" s="938"/>
      <c r="E36" s="938"/>
      <c r="F36" s="928"/>
      <c r="G36" s="956"/>
      <c r="H36" s="956"/>
      <c r="I36" s="777"/>
      <c r="J36" s="957"/>
      <c r="K36" s="958"/>
      <c r="L36" s="959"/>
      <c r="M36" s="952"/>
      <c r="N36" s="952" t="s">
        <v>858</v>
      </c>
      <c r="O36" s="778"/>
      <c r="P36" s="957"/>
      <c r="Q36" s="938"/>
      <c r="R36" s="938"/>
      <c r="S36" s="938"/>
      <c r="T36" s="957"/>
      <c r="U36" s="938"/>
      <c r="V36" s="960"/>
      <c r="W36" s="957"/>
      <c r="X36" s="635"/>
      <c r="Y36" s="635"/>
      <c r="Z36" s="635"/>
      <c r="AA36" s="938"/>
      <c r="AB36" s="928"/>
      <c r="AC36" s="934"/>
      <c r="AD36" s="740"/>
      <c r="AE36" s="1461" t="s">
        <v>1334</v>
      </c>
      <c r="AF36" s="1142" t="s">
        <v>1191</v>
      </c>
      <c r="AG36" s="1492">
        <f ca="1">(AG38+IF(AW16="E",AG28,"0"))*1.1</f>
        <v>44546797.900000006</v>
      </c>
      <c r="AH36" s="1492"/>
      <c r="AI36" s="779">
        <f ca="1">(AI38+IF(AW16="E",AI28,"0"))*1.1</f>
        <v>44546797.900000006</v>
      </c>
      <c r="AJ36" s="779">
        <f ca="1">(AI38+IF(AW16="E",AI28,"0"))*1.1</f>
        <v>44546797.900000006</v>
      </c>
      <c r="AK36" s="935"/>
      <c r="AL36" s="932"/>
      <c r="AM36" s="1421" t="str">
        <f>IF(AM30=3,TRUE,"")</f>
        <v/>
      </c>
      <c r="AN36" s="1425" t="s">
        <v>230</v>
      </c>
      <c r="AO36" s="1425">
        <v>1</v>
      </c>
      <c r="AP36" s="1425" t="s">
        <v>1878</v>
      </c>
      <c r="AQ36" s="1425">
        <v>1</v>
      </c>
      <c r="AR36" s="70"/>
      <c r="AS36" s="71"/>
      <c r="AT36" s="70"/>
      <c r="AU36" s="70"/>
      <c r="AV36" s="1569"/>
      <c r="AW36" s="115" t="s">
        <v>307</v>
      </c>
      <c r="AX36" s="119">
        <f ca="1">IF(AO4=2,AO9,IF(AO4=5,'현대제조사탁송료(전기차too)'!S4,0)+IF(AO4=4,'현대제조사탁송료(전기차too)'!S4,0))+IF(AND(AT10="HL홀딩스",AU9=TRUE),100000,0)</f>
        <v>0</v>
      </c>
      <c r="AY36" s="117">
        <f ca="1">ROUND(AX36/1.1,0)</f>
        <v>0</v>
      </c>
      <c r="AZ36" s="68"/>
      <c r="BA36" s="516">
        <v>60</v>
      </c>
      <c r="BB36" s="519">
        <v>16</v>
      </c>
      <c r="BC36" s="135"/>
      <c r="BD36" s="136" t="s">
        <v>224</v>
      </c>
      <c r="BE36" s="137"/>
      <c r="BF36" s="138"/>
      <c r="BG36" s="139" t="e">
        <f ca="1">BG27*0.1</f>
        <v>#VALUE!</v>
      </c>
      <c r="BH36" s="68"/>
      <c r="BJ36"/>
    </row>
    <row r="37" spans="1:65" ht="24.95" customHeight="1" thickBot="1">
      <c r="A37" s="446"/>
      <c r="B37" s="1512" t="s">
        <v>239</v>
      </c>
      <c r="C37" s="1512"/>
      <c r="D37" s="1512"/>
      <c r="E37" s="1512"/>
      <c r="F37" s="1512" t="s">
        <v>308</v>
      </c>
      <c r="G37" s="1512"/>
      <c r="H37" s="1512"/>
      <c r="I37" s="1512" t="s">
        <v>309</v>
      </c>
      <c r="J37" s="1494"/>
      <c r="K37" s="1494" t="s">
        <v>310</v>
      </c>
      <c r="L37" s="1494"/>
      <c r="M37" s="1494"/>
      <c r="N37" s="780" t="s">
        <v>285</v>
      </c>
      <c r="O37" s="1494" t="s">
        <v>312</v>
      </c>
      <c r="P37" s="1494"/>
      <c r="Q37" s="1494" t="s">
        <v>313</v>
      </c>
      <c r="R37" s="1494"/>
      <c r="S37" s="1494"/>
      <c r="T37" s="961"/>
      <c r="U37" s="1494" t="s">
        <v>316</v>
      </c>
      <c r="V37" s="1494"/>
      <c r="W37" s="1494" t="s">
        <v>315</v>
      </c>
      <c r="X37" s="1494"/>
      <c r="Y37" s="1494"/>
      <c r="Z37" s="1494"/>
      <c r="AA37" s="780" t="s">
        <v>311</v>
      </c>
      <c r="AB37" s="781" t="s">
        <v>314</v>
      </c>
      <c r="AC37" s="777"/>
      <c r="AD37" s="962"/>
      <c r="AE37" s="1461"/>
      <c r="AF37" s="1142" t="s">
        <v>981</v>
      </c>
      <c r="AG37" s="1491">
        <f ca="1">IF(AY54-J16-BB20-BF7&gt;=300000,(AY54-J16-BB20-BF7),"심사기준금액미달")</f>
        <v>6777089</v>
      </c>
      <c r="AH37" s="1491"/>
      <c r="AI37" s="782" t="e">
        <f ca="1">IF(AY55-T16-BB45-BF29&gt;=300000,(AY55-T16-BB45-BF29),"심사기준금액미달")</f>
        <v>#VALUE!</v>
      </c>
      <c r="AJ37" s="782" t="e">
        <f ca="1">IF(AY56-AB16-BB84-BF71&gt;=300000,(AY56-AB16-BB84-BF71),"심사기준금액미달")</f>
        <v>#VALUE!</v>
      </c>
      <c r="AK37" s="935"/>
      <c r="AL37" s="932"/>
      <c r="AM37" s="1422" t="str">
        <f>IF(AM30=4,TRUE,"")</f>
        <v/>
      </c>
      <c r="AN37" s="1425" t="s">
        <v>809</v>
      </c>
      <c r="AO37" s="1425">
        <v>2</v>
      </c>
      <c r="AP37" s="1425" t="s">
        <v>1882</v>
      </c>
      <c r="AQ37" s="1425">
        <v>1</v>
      </c>
      <c r="AR37" s="70"/>
      <c r="AS37" s="71"/>
      <c r="AT37" s="70"/>
      <c r="AU37" s="70"/>
      <c r="AV37" s="1569"/>
      <c r="AW37" s="115" t="s">
        <v>318</v>
      </c>
      <c r="AX37" s="119">
        <f>IF(OR(AO4=3,AO4=6),INDEX(AQ5:AQ14,AQ4),0)</f>
        <v>0</v>
      </c>
      <c r="AY37" s="117">
        <f>ROUND(AX37/1.1,0)</f>
        <v>0</v>
      </c>
      <c r="AZ37" s="68"/>
      <c r="BA37" s="1073" t="s">
        <v>209</v>
      </c>
      <c r="BB37" s="1074">
        <v>2</v>
      </c>
      <c r="BC37" s="135"/>
      <c r="BD37" s="136" t="s">
        <v>228</v>
      </c>
      <c r="BE37" s="137"/>
      <c r="BF37" s="138"/>
      <c r="BG37" s="139" t="e">
        <f ca="1">BG27+BG36</f>
        <v>#VALUE!</v>
      </c>
      <c r="BH37" s="68"/>
      <c r="BI37" s="120"/>
      <c r="BJ37"/>
    </row>
    <row r="38" spans="1:65" ht="27.75" customHeight="1" thickBot="1">
      <c r="A38" s="446"/>
      <c r="B38" s="1549" t="str">
        <f ca="1">F18</f>
        <v>셀프</v>
      </c>
      <c r="C38" s="1549"/>
      <c r="D38" s="1549"/>
      <c r="E38" s="1549"/>
      <c r="F38" s="1507" t="str">
        <f ca="1">IF(AW13="D",INDEX(정비!C$16:C$23,렌터카견적내기!$BC$4),"-")</f>
        <v>자가정비</v>
      </c>
      <c r="G38" s="1507"/>
      <c r="H38" s="1507"/>
      <c r="I38" s="1507" t="str">
        <f ca="1">IF(AW13="D",INDEX(정비!$D$16:$D$23,렌터카견적내기!$BC$4),"N")</f>
        <v>N</v>
      </c>
      <c r="J38" s="1507"/>
      <c r="K38" s="1497" t="str">
        <f ca="1">IF(AW13="D",INDEX(정비!$E$16:$E$23,렌터카견적내기!$BC$4),"N")</f>
        <v>Y</v>
      </c>
      <c r="L38" s="1497"/>
      <c r="M38" s="1497"/>
      <c r="N38" s="764" t="str">
        <f ca="1">"  "&amp;IF(AW13="D",INDEX(정비!$G$16:$G$23,렌터카견적내기!$BC$4),"N")</f>
        <v xml:space="preserve">  Y</v>
      </c>
      <c r="O38" s="1497" t="str">
        <f ca="1">" "&amp;IF(AW13="D",INDEX(정비!$H$16:$H$23,렌터카견적내기!$BC$4),"N")</f>
        <v xml:space="preserve"> Y</v>
      </c>
      <c r="P38" s="1497"/>
      <c r="Q38" s="1497" t="str">
        <f ca="1">"  "&amp;IF(AW13="D",INDEX(정비!$I$16:$I$23,렌터카견적내기!$BC$4),"N")</f>
        <v xml:space="preserve">  N</v>
      </c>
      <c r="R38" s="1497"/>
      <c r="S38" s="1497"/>
      <c r="T38" s="947"/>
      <c r="U38" s="1497" t="str">
        <f ca="1">"  "&amp;IF(AW16="E",W38,IF(AW13="D",INDEX(정비!$G$16:$G$23,렌터카견적내기!$BC$4),"N"))</f>
        <v xml:space="preserve">  Y</v>
      </c>
      <c r="V38" s="1497"/>
      <c r="W38" s="1497" t="str">
        <f ca="1">IF(AW13="D",INDEX(정비!$K$16:$K$23,렌터카견적내기!$BC$4),"N")</f>
        <v>N</v>
      </c>
      <c r="X38" s="1497"/>
      <c r="Y38" s="1497"/>
      <c r="Z38" s="1497"/>
      <c r="AA38" s="764" t="str">
        <f>INDEX(정비!$F$16:$F$23,렌터카견적내기!$BC$4)</f>
        <v>Y</v>
      </c>
      <c r="AB38" s="783" t="str">
        <f ca="1">"   "&amp;IF(AW13="D",INDEX(정비!$J$16:$J$23,렌터카견적내기!$BC$4)," N")</f>
        <v xml:space="preserve">   N</v>
      </c>
      <c r="AC38" s="777"/>
      <c r="AD38" s="962"/>
      <c r="AE38" s="1461"/>
      <c r="AF38" s="1142" t="s">
        <v>980</v>
      </c>
      <c r="AG38" s="1492">
        <f ca="1">AY54</f>
        <v>40497089</v>
      </c>
      <c r="AH38" s="1506"/>
      <c r="AI38" s="779">
        <f ca="1">AY55</f>
        <v>40497089</v>
      </c>
      <c r="AJ38" s="779">
        <f ca="1">AY55</f>
        <v>40497089</v>
      </c>
      <c r="AK38" s="935"/>
      <c r="AL38" s="932"/>
      <c r="AM38" s="596"/>
      <c r="AN38" s="1425" t="s">
        <v>240</v>
      </c>
      <c r="AO38" s="1425">
        <v>2</v>
      </c>
      <c r="AP38" s="1425" t="s">
        <v>1881</v>
      </c>
      <c r="AQ38" s="1425">
        <v>1</v>
      </c>
      <c r="AR38" s="70"/>
      <c r="AS38" s="71"/>
      <c r="AT38" s="70"/>
      <c r="AU38" s="198" t="str">
        <f ca="1">IF(AX38+AX39+AX40+AX41+AX42=0,"용품없음","용픔있음")</f>
        <v>용품없음</v>
      </c>
      <c r="AV38" s="1569"/>
      <c r="AW38" s="115" t="s">
        <v>230</v>
      </c>
      <c r="AX38" s="119">
        <f>INDEX(주요기준!C4:C12,AO36)</f>
        <v>0</v>
      </c>
      <c r="AY38" s="117">
        <f>ROUND(AX38/1.1,0)</f>
        <v>0</v>
      </c>
      <c r="AZ38" s="68"/>
      <c r="BA38" s="1067" t="s">
        <v>879</v>
      </c>
      <c r="BB38" s="519"/>
      <c r="BC38" s="206"/>
      <c r="BD38" s="207" t="s">
        <v>233</v>
      </c>
      <c r="BE38" s="137"/>
      <c r="BF38" s="145">
        <f>IF(BJ4=5,BF16,BB45)</f>
        <v>0</v>
      </c>
      <c r="BG38" s="139">
        <f>BF38/BB29</f>
        <v>0</v>
      </c>
      <c r="BH38" s="68"/>
      <c r="BI38" s="120"/>
      <c r="BJ38"/>
    </row>
    <row r="39" spans="1:65" ht="26.25" customHeight="1">
      <c r="A39" s="451"/>
      <c r="B39" s="1566" t="str">
        <f>P18</f>
        <v/>
      </c>
      <c r="C39" s="1566"/>
      <c r="D39" s="1566"/>
      <c r="E39" s="1566"/>
      <c r="F39" s="1507" t="str">
        <f>IF(고객용견적!AE6=FALSE,"",IF(AW13="D",INDEX(정비!C$16:C$23,렌터카견적내기!$BC$26),"-"))</f>
        <v/>
      </c>
      <c r="G39" s="1507"/>
      <c r="H39" s="1507"/>
      <c r="I39" s="1507" t="str">
        <f>IF(고객용견적!AE6=FALSE,"",IF(AW13="D",INDEX(정비!$D$16:$D$23,렌터카견적내기!$BC$26),"N"))</f>
        <v/>
      </c>
      <c r="J39" s="1507"/>
      <c r="K39" s="1497" t="str">
        <f>IF(고객용견적!AE6=FALSE,"",IF(AW13="D",INDEX(정비!$E$16:$E$23,렌터카견적내기!$BC$26),"N"))</f>
        <v/>
      </c>
      <c r="L39" s="1497"/>
      <c r="M39" s="1497"/>
      <c r="N39" s="764" t="str">
        <f>IF(고객용견적!AE6=FALSE,"","  "&amp;IF(AW13="D",INDEX(정비!$G$16:$G$23,렌터카견적내기!$BC$26),"N"))</f>
        <v/>
      </c>
      <c r="O39" s="1497" t="str">
        <f>IF(고객용견적!AE6=FALSE,"","  "&amp;IF(AW13="D",INDEX(정비!$H$16:$H$23,렌터카견적내기!$BC$26),"N"))</f>
        <v/>
      </c>
      <c r="P39" s="1497"/>
      <c r="Q39" s="1497" t="str">
        <f>IF(고객용견적!AE6=FALSE,"","  "&amp;IF(AW13="D",INDEX(정비!$I$16:$I$23,렌터카견적내기!$BC$26),"N"))</f>
        <v/>
      </c>
      <c r="R39" s="1497"/>
      <c r="S39" s="1497"/>
      <c r="T39" s="947"/>
      <c r="U39" s="1498" t="str">
        <f>IF(고객용견적!AE6=FALSE,"","  "&amp;IF(AW16="E",W39,IF(AW13="D",INDEX(정비!$G$16:$G$23,렌터카견적내기!$BC$26),"N")))</f>
        <v/>
      </c>
      <c r="V39" s="1498"/>
      <c r="W39" s="1498" t="str">
        <f>IF(고객용견적!AE6=FALSE,"",IF(AW13="D",INDEX(정비!$K$16:$K$23,렌터카견적내기!$BC$26),"N"))</f>
        <v/>
      </c>
      <c r="X39" s="1498"/>
      <c r="Y39" s="1498"/>
      <c r="Z39" s="1498"/>
      <c r="AA39" s="764" t="str">
        <f>IF(고객용견적!AE6=FALSE,"",INDEX(정비!$F$16:$F$23,렌터카견적내기!$BC$26))</f>
        <v/>
      </c>
      <c r="AB39" s="783" t="str">
        <f>IF(고객용견적!AE6=FALSE,"","   "&amp;IF(AW13="D",INDEX(정비!$J$16:$J$23,렌터카견적내기!$BC$26)," N"))</f>
        <v/>
      </c>
      <c r="AC39" s="777"/>
      <c r="AD39" s="962"/>
      <c r="AE39" s="1461"/>
      <c r="AF39" s="1136" t="s">
        <v>845</v>
      </c>
      <c r="AG39" s="1493" t="str">
        <f ca="1">+AW4</f>
        <v xml:space="preserve">아반떼 가솔린 1.6 </v>
      </c>
      <c r="AH39" s="1493"/>
      <c r="AI39" s="1493"/>
      <c r="AJ39" s="1493"/>
      <c r="AK39" s="935"/>
      <c r="AL39" s="932"/>
      <c r="AM39" s="596"/>
      <c r="AN39" s="932"/>
      <c r="AO39" s="596"/>
      <c r="AP39" s="932"/>
      <c r="AQ39" s="596"/>
      <c r="AR39" s="70"/>
      <c r="AS39" s="71"/>
      <c r="AT39" s="70"/>
      <c r="AU39" s="198"/>
      <c r="AV39" s="1569"/>
      <c r="AW39" s="115" t="s">
        <v>1880</v>
      </c>
      <c r="AX39" s="119">
        <f>INDEX(주요기준!C14:C21,AO37)</f>
        <v>0</v>
      </c>
      <c r="AY39" s="117">
        <f t="shared" ref="AY39:AY42" si="0">ROUNDDOWN(AX39/1.1,0)</f>
        <v>0</v>
      </c>
      <c r="AZ39" s="68"/>
      <c r="BA39" s="1067" t="s">
        <v>880</v>
      </c>
      <c r="BB39" s="519">
        <f ca="1">IFERROR(VLOOKUP(LEFT(INDEX(렌터카모델!T3:T147,렌터카모델!D2),1),#REF!,2,0),0)</f>
        <v>0</v>
      </c>
      <c r="BC39" s="148"/>
      <c r="BD39" s="136" t="s">
        <v>238</v>
      </c>
      <c r="BE39" s="137"/>
      <c r="BF39" s="138"/>
      <c r="BG39" s="139" t="e">
        <f ca="1">BG37-BG38</f>
        <v>#VALUE!</v>
      </c>
      <c r="BH39" s="68"/>
      <c r="BI39" s="120"/>
      <c r="BJ39"/>
    </row>
    <row r="40" spans="1:65" ht="29.25" customHeight="1" thickBot="1">
      <c r="A40" s="446"/>
      <c r="B40" s="1567" t="str">
        <f>+Z18</f>
        <v/>
      </c>
      <c r="C40" s="1567"/>
      <c r="D40" s="1567"/>
      <c r="E40" s="1567"/>
      <c r="F40" s="1561" t="str">
        <f>IF(고객용견적!AE7=FALSE,"",IF(AW13="D",INDEX(정비!C$16:C$23,렌터카견적내기!$BC$68),"-"))</f>
        <v/>
      </c>
      <c r="G40" s="1561"/>
      <c r="H40" s="1561"/>
      <c r="I40" s="1562" t="str">
        <f>IF(고객용견적!AE7=FALSE,"",IF(AW13="D",INDEX(정비!$D$16:$D$23,렌터카견적내기!$BC$68),"N"))</f>
        <v/>
      </c>
      <c r="J40" s="1562"/>
      <c r="K40" s="1550" t="str">
        <f>IF(고객용견적!AE7=FALSE,"",IF(AW13="D",INDEX(정비!$E$16:$E$23,렌터카견적내기!$BC$68),"N"))</f>
        <v/>
      </c>
      <c r="L40" s="1550"/>
      <c r="M40" s="1550"/>
      <c r="N40" s="774" t="str">
        <f>IF(고객용견적!AE7=FALSE,"","  "&amp;IF(AW13="D",INDEX(정비!$G$16:$G$23,렌터카견적내기!$BC$68),"N"))</f>
        <v/>
      </c>
      <c r="O40" s="1550" t="str">
        <f>IF(고객용견적!AE7=FALSE,"","  "&amp;IF(AW13="D",INDEX(정비!$H$16:$H$23,렌터카견적내기!$BC$68),"N"))</f>
        <v/>
      </c>
      <c r="P40" s="1550"/>
      <c r="Q40" s="1550" t="str">
        <f>IF(고객용견적!AE7=FALSE,"","  "&amp;IF(AW13="D",INDEX(정비!$I$16:$I$23,렌터카견적내기!$BC$68),"N"))</f>
        <v/>
      </c>
      <c r="R40" s="1550"/>
      <c r="S40" s="1550"/>
      <c r="T40" s="963"/>
      <c r="U40" s="1563" t="str">
        <f>IF(고객용견적!AE7=FALSE,"","  "&amp;IF(AW16="E",W39,IF(AW13="D",INDEX(정비!$G$16:$G$23,렌터카견적내기!$BC$68),"N")))</f>
        <v/>
      </c>
      <c r="V40" s="1563"/>
      <c r="W40" s="1563" t="str">
        <f>IF(고객용견적!AE7=FALSE,"",IF(AW13="D",INDEX(정비!$K$16:$K$23,렌터카견적내기!$BC$68),"N"))</f>
        <v/>
      </c>
      <c r="X40" s="1563"/>
      <c r="Y40" s="1563"/>
      <c r="Z40" s="1563"/>
      <c r="AA40" s="774" t="str">
        <f>IF(고객용견적!AE7=FALSE,"",INDEX(정비!$F$16:$F$23,렌터카견적내기!$BC$68))</f>
        <v/>
      </c>
      <c r="AB40" s="784" t="str">
        <f>IF(고객용견적!AE7=FALSE,"","   "&amp;IF(AW13="D",INDEX(정비!$J$16:$J$23,렌터카견적내기!$BC$68)," N"))</f>
        <v/>
      </c>
      <c r="AC40" s="777"/>
      <c r="AD40" s="962"/>
      <c r="AE40" s="1461"/>
      <c r="AF40" s="1136" t="s">
        <v>846</v>
      </c>
      <c r="AG40" s="1500" t="str">
        <f>+고객용견적!Q19</f>
        <v>유의사항을 확인해주세요</v>
      </c>
      <c r="AH40" s="1500"/>
      <c r="AI40" s="785" t="s">
        <v>857</v>
      </c>
      <c r="AJ40" s="786"/>
      <c r="AK40" s="935"/>
      <c r="AL40" s="932"/>
      <c r="AM40" s="596"/>
      <c r="AN40" s="796" t="s">
        <v>94</v>
      </c>
      <c r="AO40" s="797" t="s">
        <v>353</v>
      </c>
      <c r="AP40" s="630"/>
      <c r="AQ40" s="596"/>
      <c r="AR40" s="70"/>
      <c r="AS40" s="208"/>
      <c r="AT40" s="70"/>
      <c r="AU40" s="70"/>
      <c r="AV40" s="1569"/>
      <c r="AW40" s="115" t="s">
        <v>240</v>
      </c>
      <c r="AX40" s="119">
        <f ca="1">INDEX(주요기준!C23:C29,AO38)</f>
        <v>0</v>
      </c>
      <c r="AY40" s="117">
        <f t="shared" ca="1" si="0"/>
        <v>0</v>
      </c>
      <c r="AZ40" s="68"/>
      <c r="BA40" s="1067" t="s">
        <v>881</v>
      </c>
      <c r="BB40" s="519">
        <f ca="1">IFERROR(VLOOKUP(LEFT(INDEX(렌터카모델!T3:T147,렌터카모델!D2),1),#REF!,2,0),0)</f>
        <v>0</v>
      </c>
      <c r="BC40" s="148"/>
      <c r="BD40" s="152"/>
      <c r="BE40" s="97"/>
      <c r="BF40" s="209"/>
      <c r="BG40" s="98"/>
      <c r="BH40" s="68"/>
      <c r="BI40" s="120"/>
      <c r="BJ40"/>
    </row>
    <row r="41" spans="1:65" ht="24" customHeight="1" thickBot="1">
      <c r="A41" s="452"/>
      <c r="B41" s="1510" t="s">
        <v>320</v>
      </c>
      <c r="C41" s="1510"/>
      <c r="D41" s="1510"/>
      <c r="E41" s="1510"/>
      <c r="F41" s="1510"/>
      <c r="G41" s="1510"/>
      <c r="H41" s="1510"/>
      <c r="I41" s="787"/>
      <c r="J41" s="1508" t="s">
        <v>321</v>
      </c>
      <c r="K41" s="1508"/>
      <c r="L41" s="1508"/>
      <c r="M41" s="1508"/>
      <c r="N41" s="1508"/>
      <c r="O41" s="1508"/>
      <c r="P41" s="1508"/>
      <c r="Q41" s="928"/>
      <c r="R41" s="1510" t="s">
        <v>322</v>
      </c>
      <c r="S41" s="1510"/>
      <c r="T41" s="1510"/>
      <c r="U41" s="1510"/>
      <c r="V41" s="788"/>
      <c r="W41" s="787"/>
      <c r="X41" s="787"/>
      <c r="Y41" s="928"/>
      <c r="Z41" s="928"/>
      <c r="AA41" s="928"/>
      <c r="AB41" s="928"/>
      <c r="AC41" s="928"/>
      <c r="AD41" s="962"/>
      <c r="AE41" s="1461"/>
      <c r="AF41" s="1136" t="s">
        <v>847</v>
      </c>
      <c r="AG41" s="1491">
        <f ca="1">+AX33</f>
        <v>28800</v>
      </c>
      <c r="AH41" s="1491"/>
      <c r="AI41" s="1728" t="str">
        <f ca="1">IFERROR(IF(잔가기준!Q2+2%&gt;잔가기준!R2,"일반잔가의 렌탈료가 더 저렴한 차량입니다","20,000/30,000km 시 고잔가의 렌탈료가 더 저렴한 차량입니다"),)</f>
        <v>일반잔가의 렌탈료가 더 저렴한 차량입니다</v>
      </c>
      <c r="AJ41" s="1729"/>
      <c r="AK41" s="935"/>
      <c r="AL41" s="932"/>
      <c r="AM41" s="596"/>
      <c r="AN41" s="796" t="s">
        <v>230</v>
      </c>
      <c r="AO41" s="1722" t="str">
        <f>IF(AO36=1,"",IF(AX38&gt;0,INDEX(주요기준!B4:B12,AO36)&amp;" (블박)",""))</f>
        <v/>
      </c>
      <c r="AP41" s="1723"/>
      <c r="AQ41" s="596"/>
      <c r="AR41" s="70"/>
      <c r="AS41" s="210"/>
      <c r="AT41" s="70"/>
      <c r="AU41" s="70"/>
      <c r="AV41" s="1569"/>
      <c r="AW41" s="211" t="s">
        <v>1878</v>
      </c>
      <c r="AX41" s="119">
        <f>INDEX(주요기준!E4:E16,AQ36)</f>
        <v>0</v>
      </c>
      <c r="AY41" s="212">
        <f t="shared" si="0"/>
        <v>0</v>
      </c>
      <c r="AZ41" s="213"/>
      <c r="BA41" s="1067" t="s">
        <v>882</v>
      </c>
      <c r="BB41" s="519"/>
      <c r="BC41" s="214"/>
      <c r="BD41" s="155" t="s">
        <v>245</v>
      </c>
      <c r="BE41" s="991" t="e">
        <f ca="1">PMT((BG43)/12,BB29,-$AY$55-BB47-BB48-BB49-AX46-AX47+BB45+BB44,BF29-BB44)+BG38</f>
        <v>#VALUE!</v>
      </c>
      <c r="BF41" s="157" t="e">
        <f ca="1">IF(AW16="E",ROUNDUP(RATE(BB29,BE41,-$AY$55,BF29)*12,4),IF(AW12=0,"error",ROUNDUP(RATE(BB29,BE41,-$AY$55,BF29)*12,4)))</f>
        <v>#VALUE!</v>
      </c>
      <c r="BG41" s="158"/>
      <c r="BH41" s="215"/>
      <c r="BI41" s="120"/>
      <c r="BJ41"/>
    </row>
    <row r="42" spans="1:65" ht="24" customHeight="1" thickBot="1">
      <c r="A42" s="452"/>
      <c r="B42" s="1511"/>
      <c r="C42" s="1511"/>
      <c r="D42" s="1511"/>
      <c r="E42" s="1511"/>
      <c r="F42" s="1511"/>
      <c r="G42" s="1511"/>
      <c r="H42" s="1511"/>
      <c r="I42" s="789"/>
      <c r="J42" s="1509"/>
      <c r="K42" s="1509"/>
      <c r="L42" s="1509"/>
      <c r="M42" s="1509"/>
      <c r="N42" s="1509"/>
      <c r="O42" s="1509"/>
      <c r="P42" s="1509"/>
      <c r="Q42" s="928"/>
      <c r="R42" s="1511"/>
      <c r="S42" s="1511"/>
      <c r="T42" s="1511"/>
      <c r="U42" s="1511"/>
      <c r="V42" s="964"/>
      <c r="W42" s="790"/>
      <c r="X42" s="790"/>
      <c r="Y42" s="928"/>
      <c r="Z42" s="928"/>
      <c r="AA42" s="928"/>
      <c r="AB42" s="928"/>
      <c r="AC42" s="928"/>
      <c r="AD42" s="965"/>
      <c r="AE42" s="1461"/>
      <c r="AF42" s="1136" t="s">
        <v>848</v>
      </c>
      <c r="AG42" s="1491" t="str">
        <f ca="1">IF(AQ33="대상","O","X")</f>
        <v>X</v>
      </c>
      <c r="AH42" s="1491"/>
      <c r="AI42" s="1729"/>
      <c r="AJ42" s="1729"/>
      <c r="AK42" s="935"/>
      <c r="AL42" s="932"/>
      <c r="AM42" s="596"/>
      <c r="AN42" s="796" t="s">
        <v>809</v>
      </c>
      <c r="AO42" s="1722" t="str">
        <f>IF(AO37=1,"",IF(AO37=2,"루마_GG(현대,기아,르노) (측후면)",IF(AX39&gt;0,INDEX(주요기준!B14:B21,AO37)&amp;" (측후면)","")))</f>
        <v>루마_GG(현대,기아,르노) (측후면)</v>
      </c>
      <c r="AP42" s="1723"/>
      <c r="AQ42" s="596"/>
      <c r="AS42" s="1247"/>
      <c r="AT42" s="70"/>
      <c r="AU42" s="70"/>
      <c r="AV42" s="1569"/>
      <c r="AW42" s="196" t="s">
        <v>1882</v>
      </c>
      <c r="AX42" s="119">
        <f>INDEX(주요기준!E18:E21,AQ37)</f>
        <v>0</v>
      </c>
      <c r="AY42" s="130">
        <f t="shared" si="0"/>
        <v>0</v>
      </c>
      <c r="AZ42" s="68"/>
      <c r="BA42" s="1075" t="s">
        <v>323</v>
      </c>
      <c r="BB42" s="519">
        <f ca="1">IFERROR(VLOOKUP(LEFT(INDEX(렌터카모델!U3:U147,렌터카모델!D2),1),#REF!,2,0),0)</f>
        <v>0</v>
      </c>
      <c r="BC42" s="148"/>
      <c r="BD42" s="155" t="s">
        <v>250</v>
      </c>
      <c r="BE42" s="163">
        <f ca="1">IF(BJ4=1,BL13,BM13)+IF(BB29=60,0.003,0)+IF(BB37=5,0.01,0)</f>
        <v>6.8000000000000005E-2</v>
      </c>
      <c r="BF42" s="217" t="e">
        <f>IF(($P$16+$P$17)&gt;50%,"취급불가",IF(($P$16+$P$17)&gt;=40%,0.002,0))+BJ10</f>
        <v>#VALUE!</v>
      </c>
      <c r="BG42" s="1167" t="e">
        <f ca="1">IF(OR(렌터카모델!B2=25,렌터카모델!B2=26),0.5%,0)+BE42+BF42-IF(AL5=1,0.01,IF(AL5=2,0.005,0))-IF(AND(BJ4=1,AI30+AI32&lt;=3%),0.005,IF(AND(BJ4=1,AI30+AI32&lt;=5%),0.002))</f>
        <v>#VALUE!</v>
      </c>
      <c r="BH42" s="68"/>
      <c r="BI42" s="218"/>
      <c r="BJ42"/>
    </row>
    <row r="43" spans="1:65" ht="21.75" customHeight="1" thickBot="1">
      <c r="A43" s="452"/>
      <c r="B43" s="739" t="s">
        <v>324</v>
      </c>
      <c r="C43" s="739"/>
      <c r="D43" s="739"/>
      <c r="E43" s="739"/>
      <c r="F43" s="739"/>
      <c r="G43" s="739"/>
      <c r="H43" s="739"/>
      <c r="I43" s="739"/>
      <c r="J43" s="739" t="s">
        <v>325</v>
      </c>
      <c r="K43" s="739"/>
      <c r="L43" s="739"/>
      <c r="M43" s="739"/>
      <c r="N43" s="739"/>
      <c r="O43" s="739"/>
      <c r="P43" s="739"/>
      <c r="Q43" s="928"/>
      <c r="R43" s="735" t="s">
        <v>325</v>
      </c>
      <c r="S43" s="739"/>
      <c r="T43" s="739"/>
      <c r="U43" s="739"/>
      <c r="V43" s="739"/>
      <c r="W43" s="966"/>
      <c r="X43" s="966"/>
      <c r="Y43" s="928"/>
      <c r="Z43" s="928"/>
      <c r="AA43" s="928"/>
      <c r="AB43" s="928"/>
      <c r="AC43" s="928"/>
      <c r="AD43" s="965"/>
      <c r="AE43" s="1461"/>
      <c r="AF43" s="1136" t="str">
        <f>IF(AU11=TRUE,"■ 보험사","")</f>
        <v>■ 보험사</v>
      </c>
      <c r="AG43" s="1499" t="str">
        <f ca="1">IF(AU11=TRUE,AT29,"")</f>
        <v>KB손보</v>
      </c>
      <c r="AH43" s="1499"/>
      <c r="AI43" s="1729"/>
      <c r="AJ43" s="1729"/>
      <c r="AK43" s="935"/>
      <c r="AL43" s="932"/>
      <c r="AM43" s="596"/>
      <c r="AN43" s="796" t="s">
        <v>240</v>
      </c>
      <c r="AO43" s="1722" t="str">
        <f ca="1">IF(AO38=1,"",IF(AX40&gt;0,INDEX(주요기준!B23:B29,AO38)&amp;" (전면)",""))</f>
        <v/>
      </c>
      <c r="AP43" s="1723"/>
      <c r="AQ43" s="596"/>
      <c r="AR43" s="70"/>
      <c r="AS43" s="71"/>
      <c r="AT43" s="70"/>
      <c r="AU43" s="70"/>
      <c r="AV43" s="1569"/>
      <c r="AW43" s="196" t="s">
        <v>1881</v>
      </c>
      <c r="AX43" s="119">
        <f>INDEX(주요기준!E23:E28,AQ38)</f>
        <v>0</v>
      </c>
      <c r="AY43" s="130">
        <f t="shared" ref="AY43" si="1">ROUNDDOWN(AX43/1.1,0)</f>
        <v>0</v>
      </c>
      <c r="AZ43" s="68"/>
      <c r="BA43" s="1076" t="s">
        <v>176</v>
      </c>
      <c r="BB43" s="1077" t="e">
        <f>IF(BI12=2,"11000",IF(BJ4=5,BB18,ROUNDUP(ROUNDUP($AB$9*P14/1.1,-4)*1.1,-3)))</f>
        <v>#VALUE!</v>
      </c>
      <c r="BC43" s="148"/>
      <c r="BD43" s="166" t="b">
        <v>1</v>
      </c>
      <c r="BE43" s="68">
        <v>280</v>
      </c>
      <c r="BF43" s="219">
        <f>BE43/10000-3.3%</f>
        <v>-5.000000000000001E-3</v>
      </c>
      <c r="BG43" s="454" t="e">
        <f ca="1">IF(BD21=FALSE,BG42,BG42+BF43)</f>
        <v>#VALUE!</v>
      </c>
      <c r="BH43" s="68"/>
      <c r="BI43" s="120"/>
      <c r="BJ43"/>
    </row>
    <row r="44" spans="1:65" ht="20.25" customHeight="1">
      <c r="A44" s="452"/>
      <c r="B44" s="739" t="s">
        <v>327</v>
      </c>
      <c r="C44" s="739"/>
      <c r="D44" s="739"/>
      <c r="E44" s="739"/>
      <c r="F44" s="739"/>
      <c r="G44" s="739"/>
      <c r="H44" s="739"/>
      <c r="I44" s="739"/>
      <c r="J44" s="739" t="s">
        <v>328</v>
      </c>
      <c r="K44" s="739"/>
      <c r="L44" s="739"/>
      <c r="M44" s="739"/>
      <c r="N44" s="739"/>
      <c r="O44" s="739"/>
      <c r="P44" s="739"/>
      <c r="Q44" s="928"/>
      <c r="R44" s="735" t="s">
        <v>328</v>
      </c>
      <c r="S44" s="739"/>
      <c r="T44" s="739"/>
      <c r="U44" s="739"/>
      <c r="V44" s="739"/>
      <c r="W44" s="966"/>
      <c r="X44" s="966"/>
      <c r="Y44" s="928"/>
      <c r="Z44" s="928"/>
      <c r="AA44" s="928"/>
      <c r="AB44" s="928"/>
      <c r="AC44" s="928"/>
      <c r="AD44" s="965"/>
      <c r="AE44" s="1461"/>
      <c r="AF44" s="1503" t="str">
        <f>IF(AU11=TRUE,"■ 보험료","")</f>
        <v>■ 보험료</v>
      </c>
      <c r="AG44" s="1727">
        <f ca="1">IF(AU11=TRUE,+AQ20,"")</f>
        <v>647300</v>
      </c>
      <c r="AH44" s="1727"/>
      <c r="AI44" s="1729"/>
      <c r="AJ44" s="1729"/>
      <c r="AK44" s="935"/>
      <c r="AL44" s="932"/>
      <c r="AM44" s="596"/>
      <c r="AN44" s="796" t="s">
        <v>1878</v>
      </c>
      <c r="AO44" s="1722" t="str">
        <f>IF(AQ36=1,"",IF(AX41&gt;0,INDEX(주요기준!D4:D16,AQ36)&amp;" (썬루프)",""))</f>
        <v/>
      </c>
      <c r="AP44" s="1723"/>
      <c r="AQ44" s="596"/>
      <c r="AR44" s="70"/>
      <c r="AS44" s="220"/>
      <c r="AT44" s="70"/>
      <c r="AU44" s="70"/>
      <c r="AV44" s="1569"/>
      <c r="AW44" s="196" t="s">
        <v>326</v>
      </c>
      <c r="AX44" s="130">
        <f>IF(AND(렌터카견적내기!$AO$5=2,렌터카견적내기!$AO$4=1),0,9900)</f>
        <v>0</v>
      </c>
      <c r="AY44" s="130">
        <f>ROUNDDOWN(AX44/1.1,0)</f>
        <v>0</v>
      </c>
      <c r="AZ44" s="517" t="e">
        <f>IF(P16&lt;=40%,P16,40%+(P16-40%)*VLOOKUP(BT15,$BS$18:$BT$21,2))</f>
        <v>#VALUE!</v>
      </c>
      <c r="BA44" s="516" t="s">
        <v>894</v>
      </c>
      <c r="BB44" s="520" t="e">
        <f>ROUNDUP($AB$9*AZ44,-4)</f>
        <v>#VALUE!</v>
      </c>
      <c r="BC44" s="172"/>
      <c r="BD44" s="68"/>
      <c r="BE44" s="221">
        <f ca="1">IF(BJ4=1,BJ13,BK13)+IF(BB29=60,0.005,0)</f>
        <v>6.8000000000000005E-2</v>
      </c>
      <c r="BF44" s="68"/>
      <c r="BG44" s="221" t="e">
        <f ca="1">+BE44+BF42</f>
        <v>#VALUE!</v>
      </c>
      <c r="BH44" s="68"/>
      <c r="BI44" s="120"/>
      <c r="BJ44"/>
    </row>
    <row r="45" spans="1:65" ht="23.25" customHeight="1" thickBot="1">
      <c r="A45" s="452"/>
      <c r="B45" s="739" t="s">
        <v>330</v>
      </c>
      <c r="C45" s="739"/>
      <c r="D45" s="739"/>
      <c r="E45" s="739"/>
      <c r="F45" s="739"/>
      <c r="G45" s="739"/>
      <c r="H45" s="739"/>
      <c r="I45" s="739"/>
      <c r="J45" s="739" t="s">
        <v>331</v>
      </c>
      <c r="K45" s="739"/>
      <c r="L45" s="739"/>
      <c r="M45" s="739"/>
      <c r="N45" s="739"/>
      <c r="O45" s="739"/>
      <c r="P45" s="739"/>
      <c r="Q45" s="928"/>
      <c r="R45" s="735" t="s">
        <v>331</v>
      </c>
      <c r="S45" s="739"/>
      <c r="T45" s="739"/>
      <c r="U45" s="739"/>
      <c r="V45" s="739"/>
      <c r="W45" s="966"/>
      <c r="X45" s="966"/>
      <c r="Y45" s="928"/>
      <c r="Z45" s="928"/>
      <c r="AA45" s="928"/>
      <c r="AB45" s="928"/>
      <c r="AC45" s="928"/>
      <c r="AD45" s="965"/>
      <c r="AE45" s="1461"/>
      <c r="AF45" s="1504"/>
      <c r="AG45" s="1501">
        <f ca="1">IF(AU11=TRUE,+AT22,"")</f>
        <v>647300</v>
      </c>
      <c r="AH45" s="1502"/>
      <c r="AI45" s="1116">
        <f ca="1">IF(AU11=TRUE,+AT24,"")</f>
        <v>647300</v>
      </c>
      <c r="AJ45" s="1116">
        <f ca="1">IF(AU11=TRUE,+AT26,"")</f>
        <v>647300</v>
      </c>
      <c r="AK45" s="792"/>
      <c r="AL45" s="932"/>
      <c r="AM45" s="596"/>
      <c r="AN45" s="796" t="s">
        <v>1882</v>
      </c>
      <c r="AO45" s="1722" t="str">
        <f>IF(AQ37=1,"",INDEX(주요기준!D18:D21,AQ37))</f>
        <v/>
      </c>
      <c r="AP45" s="1723"/>
      <c r="AQ45" s="596"/>
      <c r="AR45" s="70"/>
      <c r="AS45" s="71"/>
      <c r="AT45" s="70"/>
      <c r="AU45" s="70"/>
      <c r="AV45" s="1570"/>
      <c r="AW45" s="196" t="s">
        <v>329</v>
      </c>
      <c r="AX45" s="130">
        <f ca="1">IF(AND(렌터카견적내기!$AO$5=2,렌터카견적내기!$AO$4=1,AS12="오토클릭"),0,9900)</f>
        <v>0</v>
      </c>
      <c r="AY45" s="130">
        <f ca="1">ROUNDDOWN(AX45/1.1,0)</f>
        <v>0</v>
      </c>
      <c r="AZ45" s="68"/>
      <c r="BA45" s="516" t="s">
        <v>234</v>
      </c>
      <c r="BB45" s="520">
        <f>IF(BJ4=5,BB20,IF(BC18=TRUE,AI27,ROUNDUP(AB9*AI27/100,-4)))</f>
        <v>0</v>
      </c>
      <c r="BC45" s="177"/>
      <c r="BD45" s="68"/>
      <c r="BE45" s="68"/>
      <c r="BF45" s="68"/>
      <c r="BG45" s="68"/>
      <c r="BH45" s="68"/>
      <c r="BI45" s="120"/>
      <c r="BJ45"/>
    </row>
    <row r="46" spans="1:65" ht="23.25" customHeight="1" thickBot="1">
      <c r="A46" s="452"/>
      <c r="B46" s="739" t="s">
        <v>332</v>
      </c>
      <c r="C46" s="739"/>
      <c r="D46" s="739"/>
      <c r="E46" s="739"/>
      <c r="F46" s="739"/>
      <c r="G46" s="739"/>
      <c r="H46" s="739"/>
      <c r="I46" s="739"/>
      <c r="J46" s="739" t="s">
        <v>333</v>
      </c>
      <c r="K46" s="739"/>
      <c r="L46" s="739"/>
      <c r="M46" s="739"/>
      <c r="N46" s="739"/>
      <c r="O46" s="739"/>
      <c r="P46" s="739"/>
      <c r="Q46" s="928"/>
      <c r="R46" s="735" t="s">
        <v>333</v>
      </c>
      <c r="S46" s="739"/>
      <c r="T46" s="739"/>
      <c r="U46" s="739"/>
      <c r="V46" s="739"/>
      <c r="W46" s="966"/>
      <c r="X46" s="966"/>
      <c r="Y46" s="928"/>
      <c r="Z46" s="928"/>
      <c r="AA46" s="928"/>
      <c r="AB46" s="928"/>
      <c r="AC46" s="928"/>
      <c r="AD46" s="965"/>
      <c r="AE46" s="1461"/>
      <c r="AF46" s="1495" t="s">
        <v>1193</v>
      </c>
      <c r="AG46" s="1495"/>
      <c r="AH46" s="1495"/>
      <c r="AI46" s="1495"/>
      <c r="AJ46" s="1496"/>
      <c r="AK46" s="935"/>
      <c r="AL46" s="932"/>
      <c r="AM46" s="596"/>
      <c r="AN46" s="796" t="s">
        <v>1881</v>
      </c>
      <c r="AO46" s="1722" t="str">
        <f>IF(AQ38=1,"",INDEX(주요기준!D23:D28,AQ38))</f>
        <v/>
      </c>
      <c r="AP46" s="1723"/>
      <c r="AQ46" s="596"/>
      <c r="AR46" s="70"/>
      <c r="AS46" s="71"/>
      <c r="AU46" s="70"/>
      <c r="AV46" s="1553"/>
      <c r="AW46" s="222"/>
      <c r="AX46" s="223"/>
      <c r="AY46" s="223"/>
      <c r="AZ46" s="68"/>
      <c r="BA46" s="516" t="s">
        <v>254</v>
      </c>
      <c r="BB46" s="523">
        <f>IF(BJ4=4,BB21,BB45/(AW6+AW8))</f>
        <v>0</v>
      </c>
      <c r="BC46" s="67"/>
      <c r="BD46" s="68" t="s">
        <v>334</v>
      </c>
      <c r="BE46" s="68"/>
      <c r="BF46" s="68"/>
      <c r="BG46" s="68"/>
      <c r="BH46" s="68"/>
      <c r="BI46" s="120"/>
      <c r="BJ46"/>
    </row>
    <row r="47" spans="1:65" ht="23.25" customHeight="1" thickTop="1" thickBot="1">
      <c r="A47" s="452"/>
      <c r="B47" s="739" t="s">
        <v>335</v>
      </c>
      <c r="C47" s="739"/>
      <c r="D47" s="739"/>
      <c r="E47" s="739"/>
      <c r="F47" s="739"/>
      <c r="G47" s="739"/>
      <c r="H47" s="739"/>
      <c r="I47" s="739"/>
      <c r="J47" s="735" t="s">
        <v>336</v>
      </c>
      <c r="K47" s="735"/>
      <c r="L47" s="735"/>
      <c r="M47" s="735"/>
      <c r="N47" s="735"/>
      <c r="O47" s="739"/>
      <c r="P47" s="739"/>
      <c r="Q47" s="928"/>
      <c r="R47" s="735" t="s">
        <v>337</v>
      </c>
      <c r="S47" s="739"/>
      <c r="T47" s="739"/>
      <c r="U47" s="739"/>
      <c r="V47" s="739"/>
      <c r="W47" s="966"/>
      <c r="X47" s="966"/>
      <c r="Y47" s="928"/>
      <c r="Z47" s="928"/>
      <c r="AA47" s="928"/>
      <c r="AB47" s="928"/>
      <c r="AC47" s="928"/>
      <c r="AD47" s="965"/>
      <c r="AE47" s="1461"/>
      <c r="AF47" s="1495" t="s">
        <v>982</v>
      </c>
      <c r="AG47" s="1495"/>
      <c r="AH47" s="1495"/>
      <c r="AI47" s="1495"/>
      <c r="AJ47" s="1496"/>
      <c r="AK47" s="935"/>
      <c r="AL47" s="932"/>
      <c r="AM47" s="596"/>
      <c r="AN47" s="1719" t="str">
        <f>"    "&amp;IF(AO4=1,"  ","    "&amp;AO41&amp;"  "&amp;AO42&amp;"  "&amp;AO43&amp;"  "&amp;AO44&amp;"  "&amp;AO45&amp;"  "&amp;AO46)</f>
        <v xml:space="preserve">      </v>
      </c>
      <c r="AO47" s="1720"/>
      <c r="AP47" s="1721"/>
      <c r="AQ47" s="596"/>
      <c r="AR47" s="70"/>
      <c r="AS47" s="71"/>
      <c r="AT47" s="183"/>
      <c r="AU47" s="70"/>
      <c r="AV47" s="1554"/>
      <c r="AW47" s="222"/>
      <c r="AX47" s="223"/>
      <c r="AY47" s="223"/>
      <c r="AZ47" s="68"/>
      <c r="BA47" s="1073" t="s">
        <v>258</v>
      </c>
      <c r="BB47" s="1077" t="e">
        <f ca="1">IF(AI29="※ 인센티브하향","인센티브하향",($AI$30*IF(AW16="E",AY55,$AB$9)+BB50))</f>
        <v>#VALUE!</v>
      </c>
      <c r="BC47" s="67"/>
      <c r="BD47" s="224">
        <v>12</v>
      </c>
      <c r="BE47" s="225">
        <v>0.5</v>
      </c>
      <c r="BF47" s="494" t="s">
        <v>338</v>
      </c>
      <c r="BG47" s="225">
        <f>VLOOKUP(J13,BD47:BE54,2,0)+IF(BB12=2,2%,IF(BB12=1,4%,0%))</f>
        <v>0.32</v>
      </c>
      <c r="BI47" s="120"/>
      <c r="BJ47"/>
    </row>
    <row r="48" spans="1:65" ht="21.75" customHeight="1" thickTop="1" thickBot="1">
      <c r="A48" s="452"/>
      <c r="B48" s="739" t="s">
        <v>339</v>
      </c>
      <c r="C48" s="739"/>
      <c r="D48" s="739"/>
      <c r="E48" s="739"/>
      <c r="F48" s="739"/>
      <c r="G48" s="739"/>
      <c r="H48" s="739"/>
      <c r="I48" s="739"/>
      <c r="J48" s="739" t="s">
        <v>340</v>
      </c>
      <c r="K48" s="739"/>
      <c r="L48" s="739"/>
      <c r="M48" s="739"/>
      <c r="N48" s="739"/>
      <c r="O48" s="739"/>
      <c r="P48" s="739"/>
      <c r="Q48" s="928"/>
      <c r="R48" s="735" t="s">
        <v>336</v>
      </c>
      <c r="S48" s="739"/>
      <c r="T48" s="739"/>
      <c r="U48" s="739"/>
      <c r="V48" s="739"/>
      <c r="W48" s="966"/>
      <c r="X48" s="966"/>
      <c r="Y48" s="928"/>
      <c r="Z48" s="928"/>
      <c r="AA48" s="928"/>
      <c r="AB48" s="928"/>
      <c r="AC48" s="928"/>
      <c r="AD48" s="965"/>
      <c r="AE48" s="1505"/>
      <c r="AF48" s="1496" t="s">
        <v>319</v>
      </c>
      <c r="AG48" s="1493"/>
      <c r="AH48" s="1493"/>
      <c r="AI48" s="1493"/>
      <c r="AJ48" s="1493"/>
      <c r="AK48" s="967"/>
      <c r="AL48" s="932"/>
      <c r="AM48" s="596"/>
      <c r="AN48" s="932"/>
      <c r="AO48" s="596"/>
      <c r="AP48" s="932"/>
      <c r="AQ48" s="596"/>
      <c r="AR48" s="70"/>
      <c r="AS48" s="71"/>
      <c r="AT48" s="70"/>
      <c r="AU48" s="70"/>
      <c r="AV48" s="226" t="s">
        <v>341</v>
      </c>
      <c r="AW48" s="227"/>
      <c r="AX48" s="228">
        <f>AJ20</f>
        <v>0</v>
      </c>
      <c r="AY48" s="111">
        <f>ROUNDDOWN(AX48/1.1,-1)</f>
        <v>0</v>
      </c>
      <c r="AZ48" s="68"/>
      <c r="BA48" s="1073" t="s">
        <v>264</v>
      </c>
      <c r="BB48" s="1078">
        <f ca="1">$AI$32*IF(AW16="E",AY55,$AB$9)</f>
        <v>0</v>
      </c>
      <c r="BC48" s="67"/>
      <c r="BD48" s="224">
        <v>24</v>
      </c>
      <c r="BE48" s="225">
        <v>0.4</v>
      </c>
      <c r="BF48" s="495" t="s">
        <v>342</v>
      </c>
      <c r="BG48" s="225">
        <f>VLOOKUP(BB29,$BD$47:$BE$54,2,0)+IF(BB37=2,2%,IF(BB37=1,4%,0%))</f>
        <v>0.22</v>
      </c>
      <c r="BI48" s="120"/>
      <c r="BJ48"/>
    </row>
    <row r="49" spans="1:62" ht="21.75" customHeight="1" thickTop="1" thickBot="1">
      <c r="A49" s="452"/>
      <c r="B49" s="739" t="s">
        <v>343</v>
      </c>
      <c r="C49" s="739"/>
      <c r="D49" s="739"/>
      <c r="E49" s="739"/>
      <c r="F49" s="739"/>
      <c r="G49" s="739"/>
      <c r="H49" s="739"/>
      <c r="I49" s="739"/>
      <c r="J49" s="735" t="s">
        <v>344</v>
      </c>
      <c r="K49" s="735"/>
      <c r="L49" s="735"/>
      <c r="M49" s="735"/>
      <c r="N49" s="735"/>
      <c r="O49" s="739"/>
      <c r="P49" s="739"/>
      <c r="Q49" s="928"/>
      <c r="R49" s="735" t="s">
        <v>345</v>
      </c>
      <c r="S49" s="739"/>
      <c r="T49" s="739"/>
      <c r="U49" s="739"/>
      <c r="V49" s="739"/>
      <c r="W49" s="966"/>
      <c r="X49" s="966"/>
      <c r="Y49" s="928"/>
      <c r="Z49" s="928"/>
      <c r="AA49" s="928"/>
      <c r="AB49" s="928"/>
      <c r="AC49" s="928"/>
      <c r="AD49" s="932"/>
      <c r="AE49" s="1138"/>
      <c r="AF49" s="967"/>
      <c r="AG49" s="967"/>
      <c r="AH49" s="967"/>
      <c r="AI49" s="967"/>
      <c r="AJ49" s="967"/>
      <c r="AK49" s="1115"/>
      <c r="AL49" s="932"/>
      <c r="AM49" s="596"/>
      <c r="AN49" s="932"/>
      <c r="AO49" s="596"/>
      <c r="AP49" s="932"/>
      <c r="AQ49" s="596"/>
      <c r="AR49" s="70"/>
      <c r="AS49" s="71"/>
      <c r="AT49" s="70"/>
      <c r="AU49" s="70"/>
      <c r="AV49" s="226" t="s">
        <v>346</v>
      </c>
      <c r="AW49" s="229"/>
      <c r="AX49" s="119">
        <f ca="1">IF(AW16="T",AX64,IF(AW16="E",AX65,IF(OR(AW12&lt;=1000,AW17&gt;=9),0,AX63)))</f>
        <v>1400132.3699999999</v>
      </c>
      <c r="AY49" s="117">
        <f ca="1">IF(AX49&lt;0,0,ROUNDDOWN(AX49,-1))</f>
        <v>1400130</v>
      </c>
      <c r="AZ49" s="68"/>
      <c r="BA49" s="524" t="s">
        <v>266</v>
      </c>
      <c r="BB49" s="525">
        <f>IF(BI12=4,1.5%*AB9,IF(BI12=3,1.5%*AB9,0))</f>
        <v>0</v>
      </c>
      <c r="BC49" s="203"/>
      <c r="BD49" s="224">
        <v>36</v>
      </c>
      <c r="BE49" s="225">
        <v>0.3</v>
      </c>
      <c r="BF49" s="496" t="s">
        <v>1144</v>
      </c>
      <c r="BG49" s="497">
        <f>VLOOKUP(BB68,$BD$47:$BE$54,2,0)+IF(BB76=2,2%,IF(BB76=1,4%,0%))</f>
        <v>0.18</v>
      </c>
      <c r="BH49" s="120"/>
      <c r="BI49" s="120"/>
      <c r="BJ49"/>
    </row>
    <row r="50" spans="1:62" ht="21.75" customHeight="1" thickTop="1" thickBot="1">
      <c r="A50" s="452"/>
      <c r="B50" s="739" t="s">
        <v>347</v>
      </c>
      <c r="C50" s="739"/>
      <c r="D50" s="739"/>
      <c r="E50" s="739"/>
      <c r="F50" s="739"/>
      <c r="G50" s="739"/>
      <c r="H50" s="739"/>
      <c r="I50" s="739"/>
      <c r="J50" s="739" t="s">
        <v>348</v>
      </c>
      <c r="K50" s="739"/>
      <c r="L50" s="739"/>
      <c r="M50" s="739"/>
      <c r="N50" s="739"/>
      <c r="O50" s="739"/>
      <c r="P50" s="739"/>
      <c r="Q50" s="928"/>
      <c r="R50" s="735" t="s">
        <v>349</v>
      </c>
      <c r="S50" s="739"/>
      <c r="T50" s="739"/>
      <c r="U50" s="739"/>
      <c r="V50" s="739"/>
      <c r="W50" s="966"/>
      <c r="X50" s="966"/>
      <c r="Y50" s="928"/>
      <c r="Z50" s="928"/>
      <c r="AA50" s="928"/>
      <c r="AB50" s="928"/>
      <c r="AC50" s="928"/>
      <c r="AD50" s="793"/>
      <c r="AE50" s="794"/>
      <c r="AL50" s="932"/>
      <c r="AM50" s="596"/>
      <c r="AN50" s="928"/>
      <c r="AO50" s="596"/>
      <c r="AP50" s="928"/>
      <c r="AQ50" s="596"/>
      <c r="AR50" s="70"/>
      <c r="AS50" s="70"/>
      <c r="AT50" s="70"/>
      <c r="AU50" s="70"/>
      <c r="AV50" s="230" t="s">
        <v>234</v>
      </c>
      <c r="AW50" s="231"/>
      <c r="AX50" s="232">
        <v>0</v>
      </c>
      <c r="AY50" s="233">
        <f>ROUNDDOWN(AX50/1.1,-1)</f>
        <v>0</v>
      </c>
      <c r="AZ50" s="68"/>
      <c r="BA50" s="516" t="s">
        <v>267</v>
      </c>
      <c r="BB50" s="526" t="e">
        <f>(T16+BB45)/AW10</f>
        <v>#VALUE!</v>
      </c>
      <c r="BC50" s="203"/>
      <c r="BD50" s="224">
        <v>42</v>
      </c>
      <c r="BE50" s="225">
        <v>0.25</v>
      </c>
      <c r="BF50" s="68"/>
      <c r="BG50" s="120"/>
      <c r="BH50" s="120"/>
      <c r="BI50" s="120"/>
      <c r="BJ50"/>
    </row>
    <row r="51" spans="1:62" ht="21.75" customHeight="1" thickTop="1" thickBot="1">
      <c r="A51" s="452"/>
      <c r="B51" s="739" t="s">
        <v>350</v>
      </c>
      <c r="C51" s="739"/>
      <c r="D51" s="739"/>
      <c r="E51" s="739"/>
      <c r="F51" s="739"/>
      <c r="G51" s="739"/>
      <c r="H51" s="739"/>
      <c r="I51" s="739"/>
      <c r="J51" s="966"/>
      <c r="K51" s="966"/>
      <c r="L51" s="966"/>
      <c r="M51" s="739"/>
      <c r="N51" s="739"/>
      <c r="O51" s="739"/>
      <c r="P51" s="739"/>
      <c r="Q51" s="739"/>
      <c r="R51" s="795"/>
      <c r="S51" s="739"/>
      <c r="T51" s="968"/>
      <c r="U51" s="966"/>
      <c r="V51" s="966"/>
      <c r="W51" s="739"/>
      <c r="X51" s="739"/>
      <c r="Y51" s="739"/>
      <c r="Z51" s="739"/>
      <c r="AA51" s="739"/>
      <c r="AB51" s="739"/>
      <c r="AC51" s="739"/>
      <c r="AD51" s="793"/>
      <c r="AE51" s="794"/>
      <c r="AF51" s="794"/>
      <c r="AG51" s="794"/>
      <c r="AH51" s="794"/>
      <c r="AI51" s="794"/>
      <c r="AJ51" s="794"/>
      <c r="AK51" s="928"/>
      <c r="AL51" s="928"/>
      <c r="AM51" s="596"/>
      <c r="AN51" s="932"/>
      <c r="AO51" s="932"/>
      <c r="AP51" s="932"/>
      <c r="AQ51" s="776"/>
      <c r="AR51" s="70"/>
      <c r="AS51" s="71"/>
      <c r="AT51" s="70"/>
      <c r="AU51" s="70"/>
      <c r="AV51" s="234" t="s">
        <v>351</v>
      </c>
      <c r="AW51" s="196"/>
      <c r="AX51" s="134">
        <f ca="1">IF(AW16="e",+AG28,0)</f>
        <v>0</v>
      </c>
      <c r="AY51" s="130"/>
      <c r="AZ51" s="68"/>
      <c r="BA51" s="1079" t="s">
        <v>269</v>
      </c>
      <c r="BB51" s="1080" t="e">
        <f>+BB50+P14</f>
        <v>#VALUE!</v>
      </c>
      <c r="BC51" s="203"/>
      <c r="BD51" s="224">
        <v>44</v>
      </c>
      <c r="BE51" s="225">
        <v>0.25</v>
      </c>
      <c r="BF51" s="68"/>
      <c r="BG51" s="120"/>
      <c r="BH51" s="120"/>
      <c r="BI51" s="120"/>
      <c r="BJ51"/>
    </row>
    <row r="52" spans="1:62" ht="21.75" customHeight="1" thickTop="1" thickBot="1">
      <c r="A52" s="452"/>
      <c r="B52" s="739" t="s">
        <v>352</v>
      </c>
      <c r="C52" s="739"/>
      <c r="D52" s="739"/>
      <c r="E52" s="739"/>
      <c r="F52" s="739"/>
      <c r="G52" s="739"/>
      <c r="H52" s="739"/>
      <c r="I52" s="739"/>
      <c r="J52" s="966"/>
      <c r="K52" s="966"/>
      <c r="L52" s="966"/>
      <c r="M52" s="739"/>
      <c r="N52" s="739"/>
      <c r="O52" s="739"/>
      <c r="P52" s="739"/>
      <c r="Q52" s="739"/>
      <c r="R52" s="969" t="s">
        <v>356</v>
      </c>
      <c r="S52" s="739"/>
      <c r="T52" s="968"/>
      <c r="U52" s="966"/>
      <c r="V52" s="966"/>
      <c r="W52" s="739"/>
      <c r="X52" s="739"/>
      <c r="Y52" s="739"/>
      <c r="Z52" s="739"/>
      <c r="AA52" s="739"/>
      <c r="AB52" s="739"/>
      <c r="AC52" s="739"/>
      <c r="AD52" s="793"/>
      <c r="AE52" s="794"/>
      <c r="AF52" s="932"/>
      <c r="AG52" s="932"/>
      <c r="AH52" s="932"/>
      <c r="AI52" s="932"/>
      <c r="AJ52" s="932"/>
      <c r="AK52" s="928"/>
      <c r="AL52" s="928"/>
      <c r="AM52" s="592"/>
      <c r="AQ52" s="726"/>
      <c r="AR52" s="70"/>
      <c r="AS52" s="71"/>
      <c r="AT52" s="70"/>
      <c r="AU52" s="70"/>
      <c r="AV52" s="234" t="s">
        <v>354</v>
      </c>
      <c r="AW52" s="196"/>
      <c r="AX52" s="134">
        <f ca="1">IF(AW16="e",+AI28,0)</f>
        <v>0</v>
      </c>
      <c r="AY52" s="130"/>
      <c r="AZ52" s="120"/>
      <c r="BA52" s="75"/>
      <c r="BB52" s="68"/>
      <c r="BC52" s="203"/>
      <c r="BD52" s="224">
        <v>48</v>
      </c>
      <c r="BE52" s="225">
        <v>0.2</v>
      </c>
      <c r="BF52" s="68"/>
      <c r="BG52" s="120"/>
      <c r="BH52" s="120"/>
      <c r="BI52" s="120"/>
      <c r="BJ52"/>
    </row>
    <row r="53" spans="1:62" ht="21.75" customHeight="1" thickTop="1" thickBot="1">
      <c r="A53" s="452"/>
      <c r="B53" s="739" t="s">
        <v>355</v>
      </c>
      <c r="C53" s="739"/>
      <c r="D53" s="739"/>
      <c r="E53" s="739"/>
      <c r="F53" s="739"/>
      <c r="G53" s="739"/>
      <c r="H53" s="739"/>
      <c r="I53" s="739"/>
      <c r="J53" s="966"/>
      <c r="K53" s="966"/>
      <c r="L53" s="966"/>
      <c r="M53" s="928"/>
      <c r="N53" s="739"/>
      <c r="O53" s="739"/>
      <c r="P53" s="739"/>
      <c r="Q53" s="739"/>
      <c r="R53" s="795"/>
      <c r="S53" s="739"/>
      <c r="T53" s="968"/>
      <c r="U53" s="928"/>
      <c r="V53" s="739"/>
      <c r="W53" s="739"/>
      <c r="X53" s="739"/>
      <c r="Y53" s="739"/>
      <c r="Z53" s="739"/>
      <c r="AA53" s="739"/>
      <c r="AB53" s="739"/>
      <c r="AC53" s="739"/>
      <c r="AD53" s="794"/>
      <c r="AE53" s="1139"/>
      <c r="AF53" s="932"/>
      <c r="AG53" s="932"/>
      <c r="AH53" s="932"/>
      <c r="AI53" s="932"/>
      <c r="AJ53" s="932"/>
      <c r="AK53" s="932"/>
      <c r="AL53" s="928"/>
      <c r="AM53" s="592"/>
      <c r="AQ53" s="726"/>
      <c r="AR53" s="235"/>
      <c r="AS53" s="92"/>
      <c r="AT53" s="70"/>
      <c r="AU53" s="70"/>
      <c r="AV53" s="234" t="s">
        <v>357</v>
      </c>
      <c r="AW53" s="196"/>
      <c r="AX53" s="134">
        <f ca="1">IF(AW16="e",+AJ28,0)</f>
        <v>0</v>
      </c>
      <c r="AY53" s="130"/>
      <c r="AZ53" s="69"/>
      <c r="BA53" s="75"/>
      <c r="BB53" s="68"/>
      <c r="BC53" s="203"/>
      <c r="BD53" s="224">
        <v>54</v>
      </c>
      <c r="BE53" s="225">
        <v>0.16</v>
      </c>
      <c r="BF53" s="68"/>
      <c r="BG53" s="120"/>
      <c r="BH53" s="120"/>
      <c r="BI53" s="120"/>
      <c r="BJ53"/>
    </row>
    <row r="54" spans="1:62" ht="13.5" customHeight="1" thickTop="1" thickBot="1">
      <c r="A54" s="452"/>
      <c r="B54" s="966"/>
      <c r="C54" s="966"/>
      <c r="D54" s="966"/>
      <c r="E54" s="966"/>
      <c r="F54" s="966"/>
      <c r="G54" s="966"/>
      <c r="H54" s="966"/>
      <c r="I54" s="966"/>
      <c r="J54" s="966"/>
      <c r="K54" s="966"/>
      <c r="L54" s="966"/>
      <c r="M54" s="966"/>
      <c r="N54" s="966"/>
      <c r="O54" s="798"/>
      <c r="P54" s="966"/>
      <c r="Q54" s="966"/>
      <c r="R54" s="966"/>
      <c r="S54" s="966"/>
      <c r="T54" s="966"/>
      <c r="U54" s="928"/>
      <c r="V54" s="966"/>
      <c r="W54" s="966"/>
      <c r="X54" s="966"/>
      <c r="Y54" s="966"/>
      <c r="Z54" s="966"/>
      <c r="AA54" s="966"/>
      <c r="AB54" s="966"/>
      <c r="AC54" s="966"/>
      <c r="AD54" s="962"/>
      <c r="AE54" s="1139"/>
      <c r="AF54" s="794"/>
      <c r="AG54" s="932"/>
      <c r="AH54" s="932"/>
      <c r="AI54" s="932"/>
      <c r="AJ54" s="932"/>
      <c r="AK54" s="932"/>
      <c r="AL54" s="932"/>
      <c r="AM54" s="932"/>
      <c r="AQ54" s="726"/>
      <c r="AR54" s="235"/>
      <c r="AS54" s="92"/>
      <c r="AT54" s="70"/>
      <c r="AU54" s="70"/>
      <c r="AV54" s="236" t="s">
        <v>358</v>
      </c>
      <c r="AW54" s="236"/>
      <c r="AX54" s="236"/>
      <c r="AY54" s="237">
        <f ca="1">AY27+AY30+AY34+AY48+AY49-AY50-AX51</f>
        <v>40497089</v>
      </c>
      <c r="AZ54" s="69"/>
      <c r="BA54" s="75"/>
      <c r="BC54" s="203"/>
      <c r="BD54" s="224">
        <v>60</v>
      </c>
      <c r="BE54" s="225">
        <v>0.16</v>
      </c>
      <c r="BF54" s="68"/>
      <c r="BG54" s="120"/>
      <c r="BH54" s="120"/>
      <c r="BI54" s="120"/>
      <c r="BJ54"/>
    </row>
    <row r="55" spans="1:62" ht="18" thickTop="1">
      <c r="A55" s="75"/>
      <c r="B55" s="970"/>
      <c r="C55" s="970"/>
      <c r="D55" s="777"/>
      <c r="E55" s="777"/>
      <c r="F55" s="777"/>
      <c r="G55" s="777"/>
      <c r="H55" s="777"/>
      <c r="I55" s="777"/>
      <c r="J55" s="777"/>
      <c r="K55" s="777"/>
      <c r="L55" s="777"/>
      <c r="M55" s="777"/>
      <c r="N55" s="777"/>
      <c r="O55" s="799"/>
      <c r="P55" s="777"/>
      <c r="Q55" s="971"/>
      <c r="R55" s="777"/>
      <c r="S55" s="777"/>
      <c r="T55" s="777"/>
      <c r="U55" s="777"/>
      <c r="V55" s="777"/>
      <c r="W55" s="777"/>
      <c r="X55" s="777"/>
      <c r="Y55" s="972"/>
      <c r="Z55" s="972"/>
      <c r="AA55" s="972"/>
      <c r="AB55" s="972"/>
      <c r="AC55" s="972"/>
      <c r="AD55" s="932"/>
      <c r="AE55" s="1139"/>
      <c r="AF55" s="794"/>
      <c r="AG55" s="932"/>
      <c r="AH55" s="932"/>
      <c r="AI55" s="932"/>
      <c r="AJ55" s="932"/>
      <c r="AK55" s="932"/>
      <c r="AL55" s="932"/>
      <c r="AM55" s="932"/>
      <c r="AQ55" s="726"/>
      <c r="AR55" s="235"/>
      <c r="AS55" s="92"/>
      <c r="AT55" s="70"/>
      <c r="AU55" s="70"/>
      <c r="AV55" s="236" t="s">
        <v>359</v>
      </c>
      <c r="AW55" s="236"/>
      <c r="AX55" s="236"/>
      <c r="AY55" s="237">
        <f ca="1">AY27+AY30+AY34+AY48+AY49-AY50-AX51</f>
        <v>40497089</v>
      </c>
      <c r="AZ55" s="69"/>
      <c r="BA55" s="75"/>
      <c r="BB55" s="68"/>
      <c r="BC55" s="203"/>
      <c r="BD55" s="68"/>
      <c r="BE55" s="68"/>
      <c r="BF55" s="68"/>
      <c r="BG55" s="120"/>
      <c r="BH55" s="120"/>
      <c r="BI55" s="120"/>
      <c r="BJ55"/>
    </row>
    <row r="56" spans="1:62" ht="21" customHeight="1" thickBot="1">
      <c r="A56" s="75"/>
      <c r="B56" s="970"/>
      <c r="C56" s="970"/>
      <c r="D56" s="970"/>
      <c r="E56" s="970"/>
      <c r="F56" s="970"/>
      <c r="G56" s="970"/>
      <c r="H56" s="970"/>
      <c r="I56" s="970"/>
      <c r="J56" s="970"/>
      <c r="K56" s="970"/>
      <c r="L56" s="970"/>
      <c r="M56" s="970"/>
      <c r="N56" s="970"/>
      <c r="O56" s="800"/>
      <c r="P56" s="970"/>
      <c r="Q56" s="970"/>
      <c r="R56" s="970"/>
      <c r="S56" s="970"/>
      <c r="T56" s="970"/>
      <c r="U56" s="970"/>
      <c r="V56" s="970"/>
      <c r="W56" s="970"/>
      <c r="X56" s="970"/>
      <c r="Y56" s="964"/>
      <c r="Z56" s="964"/>
      <c r="AA56" s="964"/>
      <c r="AB56" s="964"/>
      <c r="AC56" s="964"/>
      <c r="AD56" s="932"/>
      <c r="AE56" s="1140"/>
      <c r="AF56" s="794"/>
      <c r="AG56" s="932"/>
      <c r="AH56" s="932"/>
      <c r="AI56" s="932"/>
      <c r="AJ56" s="932"/>
      <c r="AK56" s="932"/>
      <c r="AL56" s="932"/>
      <c r="AM56" s="932"/>
      <c r="AQ56" s="726"/>
      <c r="AR56" s="235"/>
      <c r="AS56" s="92"/>
      <c r="AT56" s="70"/>
      <c r="AU56" s="70"/>
      <c r="AV56" s="236" t="s">
        <v>360</v>
      </c>
      <c r="AW56" s="236"/>
      <c r="AX56" s="236"/>
      <c r="AY56" s="237">
        <f ca="1">AY27+AY30+AY34+AY48+AY49-AY50-AX51</f>
        <v>40497089</v>
      </c>
      <c r="AZ56" s="69"/>
      <c r="BA56" s="66"/>
      <c r="BB56" s="65"/>
      <c r="BC56" s="203"/>
      <c r="BD56" s="68" t="s">
        <v>92</v>
      </c>
      <c r="BE56" s="68"/>
      <c r="BF56" s="68"/>
      <c r="BG56" s="120"/>
      <c r="BH56" s="120"/>
      <c r="BI56" s="120"/>
      <c r="BJ56"/>
    </row>
    <row r="57" spans="1:62" ht="18.75" thickTop="1" thickBot="1">
      <c r="A57" s="75"/>
      <c r="B57" s="970"/>
      <c r="C57" s="970"/>
      <c r="D57" s="970"/>
      <c r="E57" s="970"/>
      <c r="F57" s="970"/>
      <c r="G57" s="970"/>
      <c r="H57" s="970"/>
      <c r="I57" s="970"/>
      <c r="J57" s="970"/>
      <c r="K57" s="970"/>
      <c r="L57" s="970"/>
      <c r="M57" s="970"/>
      <c r="N57" s="970"/>
      <c r="O57" s="800"/>
      <c r="P57" s="970"/>
      <c r="Q57" s="970"/>
      <c r="R57" s="970"/>
      <c r="S57" s="970"/>
      <c r="T57" s="970"/>
      <c r="U57" s="970"/>
      <c r="V57" s="970"/>
      <c r="W57" s="970"/>
      <c r="X57" s="970"/>
      <c r="Y57" s="964"/>
      <c r="Z57" s="964"/>
      <c r="AA57" s="964"/>
      <c r="AB57" s="964"/>
      <c r="AC57" s="964"/>
      <c r="AD57" s="932"/>
      <c r="AE57" s="1139"/>
      <c r="AF57" s="932"/>
      <c r="AG57" s="932"/>
      <c r="AH57" s="932"/>
      <c r="AI57" s="932"/>
      <c r="AJ57" s="932"/>
      <c r="AK57" s="794"/>
      <c r="AL57" s="928"/>
      <c r="AM57" s="592"/>
      <c r="AQ57" s="726"/>
      <c r="AR57" s="235"/>
      <c r="AS57" s="69"/>
      <c r="AT57" s="1063">
        <v>2</v>
      </c>
      <c r="AU57" s="238" t="s">
        <v>346</v>
      </c>
      <c r="AV57" s="68"/>
      <c r="AX57" s="239">
        <f ca="1">AX58-3900000</f>
        <v>-2499867.63</v>
      </c>
      <c r="AZ57" s="69"/>
      <c r="BA57" s="66"/>
      <c r="BB57" s="65"/>
      <c r="BC57" s="203"/>
      <c r="BD57" s="224">
        <v>12</v>
      </c>
      <c r="BE57" s="1353">
        <v>0.95</v>
      </c>
      <c r="BF57" s="494" t="s">
        <v>338</v>
      </c>
      <c r="BG57" s="225">
        <f>VLOOKUP(J13,BD57:BE64,2,0)+IF(BB12=2,2%,IF(BB12=1,4%,0%))</f>
        <v>0.32</v>
      </c>
      <c r="BH57" s="120"/>
      <c r="BI57" s="120"/>
      <c r="BJ57"/>
    </row>
    <row r="58" spans="1:62" ht="18.75" thickTop="1" thickBot="1">
      <c r="A58" s="75"/>
      <c r="B58" s="970"/>
      <c r="C58" s="970"/>
      <c r="D58" s="970"/>
      <c r="E58" s="970"/>
      <c r="F58" s="970"/>
      <c r="G58" s="970"/>
      <c r="H58" s="970"/>
      <c r="I58" s="970"/>
      <c r="J58" s="970"/>
      <c r="K58" s="970"/>
      <c r="L58" s="970"/>
      <c r="M58" s="970"/>
      <c r="N58" s="970"/>
      <c r="O58" s="800"/>
      <c r="P58" s="970"/>
      <c r="Q58" s="970"/>
      <c r="R58" s="970"/>
      <c r="S58" s="970"/>
      <c r="T58" s="970"/>
      <c r="U58" s="970"/>
      <c r="V58" s="970"/>
      <c r="W58" s="970"/>
      <c r="X58" s="970"/>
      <c r="Y58" s="964"/>
      <c r="Z58" s="964"/>
      <c r="AA58" s="964"/>
      <c r="AB58" s="964"/>
      <c r="AC58" s="964"/>
      <c r="AD58" s="932"/>
      <c r="AE58" s="1139"/>
      <c r="AF58" s="794"/>
      <c r="AG58" s="794"/>
      <c r="AH58" s="794"/>
      <c r="AI58" s="794"/>
      <c r="AJ58" s="794"/>
      <c r="AK58" s="932"/>
      <c r="AL58" s="928"/>
      <c r="AM58" s="592"/>
      <c r="AQ58" s="726"/>
      <c r="AR58" s="235"/>
      <c r="AS58" s="498">
        <v>1.0532999999999999</v>
      </c>
      <c r="AT58" s="1061" t="str">
        <f>INDEX(AU58:AU59,AT57)</f>
        <v>개별소비세 3.5%</v>
      </c>
      <c r="AU58" s="499" t="s">
        <v>841</v>
      </c>
      <c r="AV58" s="120"/>
      <c r="AW58" s="1454">
        <v>3.7310000000000003E-2</v>
      </c>
      <c r="AX58" s="130">
        <f ca="1">ROUNDDOWN(AX28,-3)*3.731%</f>
        <v>1400132.3699999999</v>
      </c>
      <c r="AY58" s="196" t="s">
        <v>1926</v>
      </c>
      <c r="AZ58" s="62" t="s">
        <v>1941</v>
      </c>
      <c r="BA58" s="66"/>
      <c r="BB58" s="65"/>
      <c r="BC58" s="203"/>
      <c r="BD58" s="224">
        <v>24</v>
      </c>
      <c r="BE58" s="225">
        <v>0.4</v>
      </c>
      <c r="BF58" s="495" t="s">
        <v>342</v>
      </c>
      <c r="BG58" s="225">
        <f>VLOOKUP(BB29,$BD$57:$BE$64,2,0)+IF(BB37=2,2%,IF(BB37=1,4%,0%))</f>
        <v>0.22</v>
      </c>
      <c r="BH58" s="120"/>
      <c r="BI58" s="120"/>
      <c r="BJ58"/>
    </row>
    <row r="59" spans="1:62" ht="18.75" thickTop="1" thickBot="1">
      <c r="A59" s="75"/>
      <c r="B59" s="970"/>
      <c r="C59" s="970"/>
      <c r="D59" s="970"/>
      <c r="E59" s="970"/>
      <c r="F59" s="970"/>
      <c r="G59" s="970"/>
      <c r="H59" s="970"/>
      <c r="I59" s="970"/>
      <c r="J59" s="970"/>
      <c r="K59" s="970"/>
      <c r="L59" s="970"/>
      <c r="M59" s="970"/>
      <c r="N59" s="970"/>
      <c r="O59" s="800"/>
      <c r="P59" s="970"/>
      <c r="Q59" s="970"/>
      <c r="R59" s="970"/>
      <c r="S59" s="970"/>
      <c r="T59" s="970"/>
      <c r="U59" s="970"/>
      <c r="V59" s="970"/>
      <c r="W59" s="970"/>
      <c r="X59" s="970"/>
      <c r="Y59" s="964"/>
      <c r="Z59" s="964"/>
      <c r="AA59" s="964"/>
      <c r="AB59" s="964"/>
      <c r="AC59" s="964"/>
      <c r="AD59" s="932"/>
      <c r="AE59" s="1139"/>
      <c r="AF59" s="794"/>
      <c r="AG59" s="932"/>
      <c r="AH59" s="932"/>
      <c r="AI59" s="932"/>
      <c r="AJ59" s="932"/>
      <c r="AK59" s="932"/>
      <c r="AL59" s="928"/>
      <c r="AM59" s="592"/>
      <c r="AP59" s="726"/>
      <c r="AQ59" s="726"/>
      <c r="AR59" s="235"/>
      <c r="AS59" s="498">
        <v>1.03731</v>
      </c>
      <c r="AT59" s="1062">
        <f>INDEX(AS58:AS59,AT57)</f>
        <v>1.03731</v>
      </c>
      <c r="AU59" s="499" t="s">
        <v>1924</v>
      </c>
      <c r="AV59" s="68"/>
      <c r="AW59" s="240">
        <v>5.33E-2</v>
      </c>
      <c r="AX59" s="130">
        <f ca="1">ROUNDDOWN(AX28,-3)*5.33%</f>
        <v>2000189.1</v>
      </c>
      <c r="AY59" s="196" t="s">
        <v>1149</v>
      </c>
      <c r="AZ59" s="196" t="s">
        <v>1150</v>
      </c>
      <c r="BA59" s="66"/>
      <c r="BB59" s="65"/>
      <c r="BC59" s="203"/>
      <c r="BD59" s="224">
        <v>36</v>
      </c>
      <c r="BE59" s="225">
        <v>0.3</v>
      </c>
      <c r="BF59" s="496" t="s">
        <v>1144</v>
      </c>
      <c r="BG59" s="497">
        <f>VLOOKUP(BB68,$BD$57:$BE$64,2,0)+IF(BB76=2,2%,IF(BB76=1,4%,0%))</f>
        <v>0.18</v>
      </c>
      <c r="BH59" s="120"/>
      <c r="BI59" s="120"/>
      <c r="BJ59"/>
    </row>
    <row r="60" spans="1:62" ht="18.75" thickTop="1" thickBot="1">
      <c r="A60" s="75"/>
      <c r="B60" s="970"/>
      <c r="C60" s="970"/>
      <c r="D60" s="970"/>
      <c r="E60" s="970"/>
      <c r="F60" s="970"/>
      <c r="G60" s="970"/>
      <c r="H60" s="970"/>
      <c r="I60" s="970"/>
      <c r="J60" s="970"/>
      <c r="K60" s="970"/>
      <c r="L60" s="970"/>
      <c r="M60" s="970"/>
      <c r="N60" s="970"/>
      <c r="O60" s="800"/>
      <c r="P60" s="970"/>
      <c r="Q60" s="970"/>
      <c r="R60" s="970"/>
      <c r="S60" s="970"/>
      <c r="T60" s="970"/>
      <c r="U60" s="970"/>
      <c r="V60" s="970"/>
      <c r="W60" s="970"/>
      <c r="X60" s="970"/>
      <c r="Y60" s="964"/>
      <c r="Z60" s="964"/>
      <c r="AA60" s="964"/>
      <c r="AB60" s="964"/>
      <c r="AC60" s="964"/>
      <c r="AD60" s="932"/>
      <c r="AE60" s="1139"/>
      <c r="AF60" s="794"/>
      <c r="AG60" s="932"/>
      <c r="AH60" s="932"/>
      <c r="AI60" s="932"/>
      <c r="AJ60" s="932"/>
      <c r="AK60" s="932"/>
      <c r="AL60" s="928"/>
      <c r="AM60" s="592"/>
      <c r="AN60" s="929"/>
      <c r="AO60" s="726"/>
      <c r="AP60" s="726"/>
      <c r="AQ60" s="726"/>
      <c r="AR60" s="235"/>
      <c r="AS60" s="92"/>
      <c r="AT60" s="69"/>
      <c r="AU60" s="69"/>
      <c r="AW60" s="241" t="s">
        <v>361</v>
      </c>
      <c r="AX60" s="242">
        <f ca="1">AX59-AX58</f>
        <v>600056.73000000021</v>
      </c>
      <c r="AY60" s="196" t="s">
        <v>362</v>
      </c>
      <c r="AZ60" s="243"/>
      <c r="BA60" s="66"/>
      <c r="BB60" s="65"/>
      <c r="BC60" s="203"/>
      <c r="BD60" s="224">
        <v>42</v>
      </c>
      <c r="BE60" s="225">
        <v>0.25</v>
      </c>
      <c r="BF60" s="68"/>
      <c r="BG60" s="120"/>
      <c r="BH60" s="120"/>
      <c r="BI60" s="120"/>
      <c r="BJ60"/>
    </row>
    <row r="61" spans="1:62" ht="18.75" thickTop="1" thickBot="1">
      <c r="A61" s="75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5"/>
      <c r="P61" s="414"/>
      <c r="Q61" s="414"/>
      <c r="R61" s="414"/>
      <c r="S61" s="414"/>
      <c r="T61" s="414"/>
      <c r="U61" s="414"/>
      <c r="V61" s="414"/>
      <c r="W61" s="414"/>
      <c r="X61" s="414"/>
      <c r="Y61" s="75"/>
      <c r="Z61" s="75"/>
      <c r="AA61" s="75"/>
      <c r="AB61" s="75"/>
      <c r="AC61" s="75"/>
      <c r="AD61" s="69"/>
      <c r="AF61" s="794"/>
      <c r="AG61" s="932"/>
      <c r="AH61" s="932"/>
      <c r="AI61" s="932"/>
      <c r="AJ61" s="932"/>
      <c r="AK61" s="69"/>
      <c r="AL61" s="63"/>
      <c r="AM61" s="64"/>
      <c r="AN61" s="43"/>
      <c r="AO61" s="182"/>
      <c r="AP61" s="43"/>
      <c r="AQ61" s="182"/>
      <c r="AR61" s="235"/>
      <c r="AS61" s="92"/>
      <c r="AT61" s="69"/>
      <c r="AU61" s="69"/>
      <c r="AW61" s="244" t="s">
        <v>363</v>
      </c>
      <c r="AX61" s="245">
        <f ca="1">IF(AX60&gt;1300000,1300000,AX60)</f>
        <v>600056.73000000021</v>
      </c>
      <c r="AY61" s="62"/>
      <c r="AZ61" s="196"/>
      <c r="BA61" s="66"/>
      <c r="BB61" s="65"/>
      <c r="BC61" s="203"/>
      <c r="BD61" s="224">
        <v>44</v>
      </c>
      <c r="BE61" s="225">
        <v>0.25</v>
      </c>
      <c r="BF61" s="68"/>
      <c r="BG61" s="120"/>
      <c r="BH61" s="120"/>
      <c r="BI61" s="120"/>
      <c r="BJ61"/>
    </row>
    <row r="62" spans="1:62" ht="16.5" thickTop="1" thickBot="1">
      <c r="A62" s="75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5"/>
      <c r="P62" s="414"/>
      <c r="Q62" s="414"/>
      <c r="R62" s="414"/>
      <c r="S62" s="414"/>
      <c r="T62" s="414"/>
      <c r="U62" s="414"/>
      <c r="V62" s="414"/>
      <c r="W62" s="414"/>
      <c r="X62" s="414"/>
      <c r="Y62" s="75"/>
      <c r="Z62" s="75"/>
      <c r="AA62" s="75"/>
      <c r="AB62" s="75"/>
      <c r="AC62" s="75"/>
      <c r="AD62" s="69"/>
      <c r="AF62" s="444"/>
      <c r="AG62" s="69"/>
      <c r="AH62" s="69"/>
      <c r="AI62" s="69"/>
      <c r="AJ62" s="69"/>
      <c r="AK62" s="69"/>
      <c r="AL62" s="69"/>
      <c r="AM62" s="64"/>
      <c r="AN62" s="438" t="s">
        <v>897</v>
      </c>
      <c r="AO62" s="43"/>
      <c r="AP62" s="43"/>
      <c r="AQ62" s="182"/>
      <c r="AR62" s="235"/>
      <c r="AS62" s="92"/>
      <c r="AT62" s="69"/>
      <c r="AU62" s="69"/>
      <c r="AW62" s="246" t="s">
        <v>364</v>
      </c>
      <c r="AX62" s="247">
        <f ca="1">AX58-AX64</f>
        <v>910000</v>
      </c>
      <c r="AY62" s="196"/>
      <c r="AZ62" s="196"/>
      <c r="BA62" s="66"/>
      <c r="BB62" s="65"/>
      <c r="BC62" s="203"/>
      <c r="BD62" s="224">
        <v>48</v>
      </c>
      <c r="BE62" s="225">
        <v>0.2</v>
      </c>
      <c r="BF62" s="68"/>
      <c r="BG62" s="120"/>
      <c r="BH62" s="120"/>
      <c r="BI62" s="120"/>
      <c r="BJ62"/>
    </row>
    <row r="63" spans="1:62" ht="16.5" thickTop="1" thickBot="1">
      <c r="A63" s="75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4"/>
      <c r="Q63" s="414"/>
      <c r="R63" s="414"/>
      <c r="S63" s="414"/>
      <c r="T63" s="414"/>
      <c r="U63" s="414"/>
      <c r="V63" s="414"/>
      <c r="W63" s="414"/>
      <c r="X63" s="414"/>
      <c r="Y63" s="75"/>
      <c r="Z63" s="75"/>
      <c r="AA63" s="75"/>
      <c r="AB63" s="75"/>
      <c r="AC63" s="75"/>
      <c r="AD63" s="69"/>
      <c r="AF63" s="444"/>
      <c r="AG63" s="69"/>
      <c r="AH63" s="69"/>
      <c r="AI63" s="69"/>
      <c r="AJ63" s="69"/>
      <c r="AK63" s="69"/>
      <c r="AL63" s="69"/>
      <c r="AM63" s="64"/>
      <c r="AN63" s="439" t="s">
        <v>898</v>
      </c>
      <c r="AO63" s="43"/>
      <c r="AP63" s="43"/>
      <c r="AQ63" s="43"/>
      <c r="AR63" s="235"/>
      <c r="AS63" s="92">
        <v>1.0532999999999999</v>
      </c>
      <c r="AT63" s="69"/>
      <c r="AU63" s="69"/>
      <c r="AV63" s="68"/>
      <c r="AW63" s="1054" t="s">
        <v>365</v>
      </c>
      <c r="AX63" s="1055">
        <f ca="1">IF(AND(AY7=9,AY9="24년"),AX59,IF(AX60&gt;=1300000,AX59-1300000,AX58))</f>
        <v>1400132.3699999999</v>
      </c>
      <c r="AY63" s="1056" t="s">
        <v>1969</v>
      </c>
      <c r="AZ63" s="196"/>
      <c r="BA63" s="66"/>
      <c r="BB63" s="65"/>
      <c r="BC63" s="203"/>
      <c r="BD63" s="224">
        <v>54</v>
      </c>
      <c r="BE63" s="225">
        <v>0.16</v>
      </c>
      <c r="BF63" s="68"/>
      <c r="BG63" s="120"/>
      <c r="BH63" s="120"/>
      <c r="BI63" s="120"/>
      <c r="BJ63"/>
    </row>
    <row r="64" spans="1:62" ht="16.5" thickTop="1" thickBot="1">
      <c r="A64" s="75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5"/>
      <c r="P64" s="414"/>
      <c r="Q64" s="414"/>
      <c r="R64" s="414"/>
      <c r="S64" s="414"/>
      <c r="T64" s="414"/>
      <c r="U64" s="414"/>
      <c r="V64" s="414"/>
      <c r="W64" s="414"/>
      <c r="X64" s="414"/>
      <c r="Y64" s="75"/>
      <c r="Z64" s="75"/>
      <c r="AA64" s="75"/>
      <c r="AB64" s="75"/>
      <c r="AC64" s="75"/>
      <c r="AD64" s="69"/>
      <c r="AF64" s="444"/>
      <c r="AG64" s="69"/>
      <c r="AH64" s="69"/>
      <c r="AI64" s="69"/>
      <c r="AJ64" s="69"/>
      <c r="AK64" s="69"/>
      <c r="AL64" s="69"/>
      <c r="AM64" s="64"/>
      <c r="AN64" s="43"/>
      <c r="AO64" s="43"/>
      <c r="AP64" s="43"/>
      <c r="AQ64" s="43"/>
      <c r="AR64" s="63"/>
      <c r="AS64" s="64">
        <v>1.03731</v>
      </c>
      <c r="AT64" s="69"/>
      <c r="AU64" s="199"/>
      <c r="AV64" s="65"/>
      <c r="AW64" s="1057" t="s">
        <v>366</v>
      </c>
      <c r="AX64" s="1058">
        <f ca="1">IF(AND(AY7=9,AY9="24년",AX63&gt;1300000),AX63-1300000,IF(AX63&gt;910000,AX63-910000,0))</f>
        <v>490132.36999999988</v>
      </c>
      <c r="AY64" s="1056"/>
      <c r="AZ64" s="196"/>
      <c r="BA64" s="66"/>
      <c r="BB64" s="65"/>
      <c r="BC64" s="203"/>
      <c r="BD64" s="224">
        <v>60</v>
      </c>
      <c r="BE64" s="225">
        <v>0.16</v>
      </c>
      <c r="BF64" s="68"/>
      <c r="BG64" s="120"/>
      <c r="BH64" s="120"/>
      <c r="BI64" s="120"/>
      <c r="BJ64"/>
    </row>
    <row r="65" spans="1:62" ht="15.75" thickBot="1">
      <c r="A65" s="75"/>
      <c r="B65" s="414"/>
      <c r="C65" s="414"/>
      <c r="D65" s="414"/>
      <c r="E65" s="414"/>
      <c r="F65" s="414"/>
      <c r="G65" s="414"/>
      <c r="H65" s="414"/>
      <c r="I65" s="414"/>
      <c r="J65" s="414"/>
      <c r="K65" s="414"/>
      <c r="L65" s="414"/>
      <c r="M65" s="414"/>
      <c r="N65" s="414"/>
      <c r="O65" s="415"/>
      <c r="P65" s="414"/>
      <c r="Q65" s="414"/>
      <c r="R65" s="414"/>
      <c r="S65" s="414"/>
      <c r="T65" s="414"/>
      <c r="U65" s="414"/>
      <c r="V65" s="414"/>
      <c r="W65" s="414"/>
      <c r="X65" s="414"/>
      <c r="Y65" s="75"/>
      <c r="Z65" s="75"/>
      <c r="AA65" s="75"/>
      <c r="AB65" s="75"/>
      <c r="AC65" s="75"/>
      <c r="AD65" s="69"/>
      <c r="AF65" s="444"/>
      <c r="AG65" s="69"/>
      <c r="AH65" s="69"/>
      <c r="AI65" s="69"/>
      <c r="AJ65" s="69"/>
      <c r="AK65" s="69"/>
      <c r="AL65" s="69"/>
      <c r="AM65" s="64"/>
      <c r="AN65" s="248"/>
      <c r="AO65" s="43"/>
      <c r="AP65" s="43"/>
      <c r="AQ65" s="43"/>
      <c r="AR65" s="63"/>
      <c r="AS65" s="64"/>
      <c r="AT65" s="69"/>
      <c r="AU65" s="69"/>
      <c r="AV65" s="68"/>
      <c r="AW65" s="1059" t="s">
        <v>92</v>
      </c>
      <c r="AX65" s="1060">
        <f ca="1">IF(AX63&gt;3900000,AX63-3900000,0)</f>
        <v>0</v>
      </c>
      <c r="AY65" s="1056"/>
      <c r="AZ65" s="196"/>
      <c r="BA65" s="66"/>
      <c r="BB65" s="65"/>
      <c r="BC65" s="203"/>
      <c r="BD65" s="68"/>
      <c r="BE65" s="68"/>
      <c r="BF65" s="68"/>
      <c r="BG65" s="120"/>
      <c r="BH65" s="120"/>
      <c r="BI65" s="120"/>
      <c r="BJ65"/>
    </row>
    <row r="66" spans="1:62" ht="20.25" customHeight="1" thickBot="1">
      <c r="A66" s="75"/>
      <c r="B66" s="414"/>
      <c r="C66" s="414"/>
      <c r="D66" s="414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5"/>
      <c r="P66" s="414"/>
      <c r="Q66" s="414"/>
      <c r="R66" s="414"/>
      <c r="S66" s="414"/>
      <c r="T66" s="414"/>
      <c r="U66" s="414"/>
      <c r="V66" s="414"/>
      <c r="W66" s="414"/>
      <c r="X66" s="414"/>
      <c r="Y66" s="75"/>
      <c r="Z66" s="75"/>
      <c r="AA66" s="75"/>
      <c r="AB66" s="75"/>
      <c r="AC66" s="75"/>
      <c r="AD66" s="69"/>
      <c r="AF66" s="444"/>
      <c r="AG66" s="69"/>
      <c r="AH66" s="69"/>
      <c r="AI66" s="69"/>
      <c r="AJ66" s="69"/>
      <c r="AK66" s="69"/>
      <c r="AL66" s="69"/>
      <c r="AM66" s="64"/>
      <c r="AN66" s="43"/>
      <c r="AO66" s="43"/>
      <c r="AP66" s="43"/>
      <c r="AQ66" s="43"/>
      <c r="AR66" s="63"/>
      <c r="AS66" s="64"/>
      <c r="AT66" s="69"/>
      <c r="AU66" s="63"/>
      <c r="AV66" s="68"/>
      <c r="AW66" s="249" t="s">
        <v>367</v>
      </c>
      <c r="AX66" s="250">
        <f ca="1">(AX63/AX28)+100%</f>
        <v>1.0373099214569832</v>
      </c>
      <c r="AY66" s="196"/>
      <c r="AZ66" s="196"/>
      <c r="BA66" s="66"/>
      <c r="BB66" s="65"/>
      <c r="BC66" s="203"/>
      <c r="BD66" s="68"/>
      <c r="BE66" s="68"/>
      <c r="BF66" s="68"/>
      <c r="BG66" s="120"/>
      <c r="BH66" s="120"/>
      <c r="BI66" s="120"/>
      <c r="BJ66"/>
    </row>
    <row r="67" spans="1:62" ht="15">
      <c r="A67" s="75"/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  <c r="N67" s="414"/>
      <c r="O67" s="415"/>
      <c r="P67" s="414"/>
      <c r="Q67" s="414"/>
      <c r="R67" s="414"/>
      <c r="S67" s="414"/>
      <c r="T67" s="414"/>
      <c r="U67" s="414"/>
      <c r="V67" s="414"/>
      <c r="W67" s="414"/>
      <c r="X67" s="414"/>
      <c r="Y67" s="75"/>
      <c r="Z67" s="75"/>
      <c r="AA67" s="75"/>
      <c r="AB67" s="75"/>
      <c r="AC67" s="75"/>
      <c r="AD67" s="69"/>
      <c r="AF67" s="444"/>
      <c r="AG67" s="69"/>
      <c r="AH67" s="69"/>
      <c r="AI67" s="69"/>
      <c r="AJ67" s="69"/>
      <c r="AK67" s="69"/>
      <c r="AL67" s="69"/>
      <c r="AM67" s="64"/>
      <c r="AN67" s="43"/>
      <c r="AO67" s="43"/>
      <c r="AP67" s="43"/>
      <c r="AQ67" s="43"/>
      <c r="AR67" s="63"/>
      <c r="AS67" s="64"/>
      <c r="AT67" s="63"/>
      <c r="AU67" s="63"/>
      <c r="AV67" s="68"/>
      <c r="AW67" s="251" t="s">
        <v>134</v>
      </c>
      <c r="AX67" s="252">
        <f ca="1">+AX66</f>
        <v>1.0373099214569832</v>
      </c>
      <c r="AY67" s="196"/>
      <c r="AZ67" s="68"/>
      <c r="BA67" s="1551" t="s">
        <v>368</v>
      </c>
      <c r="BB67" s="1552"/>
      <c r="BC67" s="518" t="str">
        <f ca="1">INDEX(BC69:BC76,렌터카견적내기!$BC$26)</f>
        <v>셀프</v>
      </c>
      <c r="BD67" s="82" t="str">
        <f>IF(고객용견적!AE48=FALSE,"",IF(BC68=4,TRUE))</f>
        <v/>
      </c>
      <c r="BE67" s="82" t="str">
        <f>IF(고객용견적!AE48=FALSE,"",IF(BC68=3,TRUE))</f>
        <v/>
      </c>
      <c r="BF67" s="82" t="str">
        <f>IF(고객용견적!AE48=FALSE,"",IF(BC68=2,TRUE))</f>
        <v/>
      </c>
      <c r="BG67" s="82" t="str">
        <f>IF(고객용견적!AE48=FALSE,"",IF(BC68=1,TRUE))</f>
        <v/>
      </c>
      <c r="BH67" s="68"/>
      <c r="BI67" s="120"/>
      <c r="BJ67"/>
    </row>
    <row r="68" spans="1:62" ht="15">
      <c r="A68" s="75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4"/>
      <c r="Q68" s="414"/>
      <c r="R68" s="414"/>
      <c r="S68" s="414"/>
      <c r="T68" s="414"/>
      <c r="U68" s="414"/>
      <c r="V68" s="414"/>
      <c r="W68" s="414"/>
      <c r="X68" s="414"/>
      <c r="Y68" s="75"/>
      <c r="Z68" s="75"/>
      <c r="AA68" s="75"/>
      <c r="AB68" s="75"/>
      <c r="AC68" s="75"/>
      <c r="AD68" s="69"/>
      <c r="AF68" s="444"/>
      <c r="AG68" s="69"/>
      <c r="AH68" s="69"/>
      <c r="AI68" s="69"/>
      <c r="AJ68" s="69"/>
      <c r="AK68" s="69"/>
      <c r="AL68" s="69"/>
      <c r="AM68" s="64"/>
      <c r="AN68" s="43"/>
      <c r="AO68" s="43"/>
      <c r="AP68" s="43"/>
      <c r="AQ68" s="43"/>
      <c r="AR68" s="63"/>
      <c r="AS68" s="64"/>
      <c r="AT68" s="63"/>
      <c r="AU68" s="63"/>
      <c r="AV68" s="68"/>
      <c r="AW68" s="65"/>
      <c r="AX68" s="65"/>
      <c r="AY68" s="65"/>
      <c r="AZ68" s="65"/>
      <c r="BA68" s="516">
        <v>7</v>
      </c>
      <c r="BB68" s="519">
        <f>IF(BJ43=5,BB43,INDEX(BA69:BA75,BA68))</f>
        <v>60</v>
      </c>
      <c r="BC68" s="188">
        <v>6</v>
      </c>
      <c r="BD68" s="187" t="s">
        <v>148</v>
      </c>
      <c r="BE68" s="89" t="s">
        <v>149</v>
      </c>
      <c r="BF68" s="89" t="s">
        <v>150</v>
      </c>
      <c r="BG68" s="90" t="s">
        <v>151</v>
      </c>
      <c r="BH68" s="68"/>
      <c r="BI68" s="120"/>
      <c r="BJ68"/>
    </row>
    <row r="69" spans="1:62" ht="1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416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69"/>
      <c r="AF69" s="444"/>
      <c r="AG69" s="69"/>
      <c r="AH69" s="69"/>
      <c r="AI69" s="69"/>
      <c r="AJ69" s="69"/>
      <c r="AK69" s="69"/>
      <c r="AL69" s="69"/>
      <c r="AM69" s="64"/>
      <c r="AN69" s="43"/>
      <c r="AO69" s="43"/>
      <c r="AP69" s="43"/>
      <c r="AQ69" s="43"/>
      <c r="AR69" s="63"/>
      <c r="AS69" s="64"/>
      <c r="AT69" s="63"/>
      <c r="AU69" s="63"/>
      <c r="AV69" s="68"/>
      <c r="AW69" s="65"/>
      <c r="AX69" s="65"/>
      <c r="AY69" s="65"/>
      <c r="AZ69" s="65"/>
      <c r="BA69" s="516">
        <v>12</v>
      </c>
      <c r="BB69" s="519">
        <v>50</v>
      </c>
      <c r="BC69" s="188" t="str">
        <f ca="1">IF(AW16="E","정비를선택해주세요!",IF($AW$13="d","프리미엄 플러스","수입차셀프"))</f>
        <v>프리미엄 플러스</v>
      </c>
      <c r="BD69" s="152" t="s">
        <v>158</v>
      </c>
      <c r="BE69" s="137"/>
      <c r="BF69" s="137"/>
      <c r="BG69" s="139" t="e">
        <f ca="1">ROUNDUP(SUM(BG70:BG77),-2)</f>
        <v>#VALUE!</v>
      </c>
      <c r="BH69" s="68"/>
      <c r="BI69" s="68"/>
      <c r="BJ69"/>
    </row>
    <row r="70" spans="1:62" ht="1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416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69"/>
      <c r="AF70" s="444"/>
      <c r="AG70" s="69"/>
      <c r="AH70" s="69"/>
      <c r="AI70" s="69"/>
      <c r="AJ70" s="69"/>
      <c r="AK70" s="69"/>
      <c r="AL70" s="69"/>
      <c r="AM70" s="64"/>
      <c r="AN70" s="43"/>
      <c r="AO70" s="43"/>
      <c r="AP70" s="43"/>
      <c r="AQ70" s="43"/>
      <c r="AR70" s="63"/>
      <c r="AS70" s="64"/>
      <c r="AT70" s="63"/>
      <c r="AU70" s="63"/>
      <c r="AV70" s="68"/>
      <c r="AW70" s="65"/>
      <c r="AX70" s="65"/>
      <c r="AY70" s="65"/>
      <c r="AZ70" s="68"/>
      <c r="BA70" s="516">
        <v>24</v>
      </c>
      <c r="BB70" s="519">
        <v>40</v>
      </c>
      <c r="BC70" s="188" t="str">
        <f ca="1">IF(AW16="E","정비를선택해주세요!",IF($AW$13="d","프리미엄","수입차셀프"))</f>
        <v>프리미엄</v>
      </c>
      <c r="BD70" s="128" t="s">
        <v>168</v>
      </c>
      <c r="BE70" s="115" t="s">
        <v>169</v>
      </c>
      <c r="BF70" s="116" t="e">
        <f ca="1">IF(BJ4=5,BF6,$AY$27+$AY$49-BF71-AX53)</f>
        <v>#VALUE!</v>
      </c>
      <c r="BG70" s="117" t="e">
        <f ca="1">ROUNDDOWN(PMT(BF83/12,BB68,-BF70,0),-2)</f>
        <v>#VALUE!</v>
      </c>
      <c r="BH70" s="68"/>
      <c r="BI70" s="68"/>
      <c r="BJ70"/>
    </row>
    <row r="71" spans="1:62" ht="1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416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69"/>
      <c r="AF71" s="444"/>
      <c r="AG71" s="69"/>
      <c r="AH71" s="69"/>
      <c r="AI71" s="69"/>
      <c r="AJ71" s="69"/>
      <c r="AM71" s="64"/>
      <c r="AN71" s="43"/>
      <c r="AO71" s="43"/>
      <c r="AP71" s="43"/>
      <c r="AQ71" s="43"/>
      <c r="AR71" s="63"/>
      <c r="AS71" s="64"/>
      <c r="AT71" s="63"/>
      <c r="AU71" s="63"/>
      <c r="AV71" s="68"/>
      <c r="AW71" s="65"/>
      <c r="AX71" s="65"/>
      <c r="AY71" s="65"/>
      <c r="AZ71" s="68"/>
      <c r="BA71" s="516">
        <v>36</v>
      </c>
      <c r="BB71" s="519">
        <v>30</v>
      </c>
      <c r="BC71" s="188" t="str">
        <f ca="1">IF(AW16="E","정비를선택해주세요!",IF($AW$13="d","스탠다드 플러스","수입차셀프"))</f>
        <v>스탠다드 플러스</v>
      </c>
      <c r="BD71" s="128" t="s">
        <v>175</v>
      </c>
      <c r="BE71" s="115" t="s">
        <v>176</v>
      </c>
      <c r="BF71" s="119" t="e">
        <f>ROUNDUP(IF(BJ4=5,BF7,BB82/1.1),-4)</f>
        <v>#VALUE!</v>
      </c>
      <c r="BG71" s="117" t="e">
        <f ca="1">ROUNDDOWN(BF71*BF83/12,-2)</f>
        <v>#VALUE!</v>
      </c>
      <c r="BH71" s="68"/>
      <c r="BI71" s="68"/>
      <c r="BJ71"/>
    </row>
    <row r="72" spans="1:62" ht="1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416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69"/>
      <c r="AF72" s="444"/>
      <c r="AG72" s="69"/>
      <c r="AH72" s="69"/>
      <c r="AI72" s="69"/>
      <c r="AJ72" s="69"/>
      <c r="AM72" s="64"/>
      <c r="AN72" s="43"/>
      <c r="AO72" s="43"/>
      <c r="AP72" s="43"/>
      <c r="AQ72" s="43"/>
      <c r="AR72" s="63"/>
      <c r="AS72" s="64"/>
      <c r="AT72" s="63"/>
      <c r="AU72" s="63"/>
      <c r="AV72" s="68"/>
      <c r="AW72" s="65"/>
      <c r="AX72" s="65"/>
      <c r="AY72" s="65"/>
      <c r="AZ72" s="68"/>
      <c r="BA72" s="516">
        <v>42</v>
      </c>
      <c r="BB72" s="519">
        <v>25</v>
      </c>
      <c r="BC72" s="188" t="str">
        <f ca="1">IF(AW16="E","정비를선택해주세요!",IF($AW$13="d","스탠다드","수입차셀프"))</f>
        <v>스탠다드</v>
      </c>
      <c r="BD72" s="128" t="s">
        <v>183</v>
      </c>
      <c r="BE72" s="115" t="s">
        <v>184</v>
      </c>
      <c r="BF72" s="116">
        <f ca="1">IF(BJ4=5,BF8,$AY$30+$AY$34)</f>
        <v>1569880</v>
      </c>
      <c r="BG72" s="117" t="e">
        <f ca="1">ROUNDDOWN(PMT(BF83/12,BB68,-BF72,0),-2)</f>
        <v>#VALUE!</v>
      </c>
      <c r="BH72" s="68"/>
      <c r="BI72" s="68"/>
      <c r="BJ72"/>
    </row>
    <row r="73" spans="1:62" ht="1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416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69"/>
      <c r="AF73" s="444"/>
      <c r="AG73" s="69"/>
      <c r="AH73" s="69"/>
      <c r="AI73" s="69"/>
      <c r="AJ73" s="69"/>
      <c r="AK73" s="69"/>
      <c r="AN73" s="43"/>
      <c r="AO73" s="43"/>
      <c r="AP73" s="43"/>
      <c r="AQ73" s="43"/>
      <c r="AR73" s="63"/>
      <c r="AS73" s="64"/>
      <c r="AT73" s="63"/>
      <c r="AU73" s="63"/>
      <c r="AV73" s="65"/>
      <c r="AZ73" s="68"/>
      <c r="BA73" s="516">
        <v>48</v>
      </c>
      <c r="BB73" s="519">
        <v>20</v>
      </c>
      <c r="BC73" s="188" t="str">
        <f ca="1">IF(AW16="E","정비를선택해주세요!",IF($AW$13="d","베이직","수입차셀프"))</f>
        <v>베이직</v>
      </c>
      <c r="BD73" s="128" t="s">
        <v>192</v>
      </c>
      <c r="BE73" s="115" t="s">
        <v>193</v>
      </c>
      <c r="BF73" s="119">
        <f ca="1">IF(AW16="E",20000,ROUNDDOWN($AW$12*$AQ$21,-1))</f>
        <v>28760</v>
      </c>
      <c r="BG73" s="117">
        <f ca="1">ROUNDDOWN(BF73/12,-2)</f>
        <v>2300</v>
      </c>
      <c r="BH73" s="68"/>
      <c r="BI73" s="68"/>
      <c r="BJ73"/>
    </row>
    <row r="74" spans="1:62" ht="15">
      <c r="A74" s="417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416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69"/>
      <c r="AK74" s="69"/>
      <c r="AN74" s="43"/>
      <c r="AO74" s="43"/>
      <c r="AP74" s="43"/>
      <c r="AQ74" s="43"/>
      <c r="AR74" s="63"/>
      <c r="AS74" s="64"/>
      <c r="AT74" s="63"/>
      <c r="AU74" s="63"/>
      <c r="AV74" s="65"/>
      <c r="AW74" s="65"/>
      <c r="AX74" s="65"/>
      <c r="AY74" s="65"/>
      <c r="AZ74" s="68"/>
      <c r="BA74" s="516">
        <v>54</v>
      </c>
      <c r="BB74" s="519">
        <v>16</v>
      </c>
      <c r="BC74" s="67" t="str">
        <f ca="1">IF(AW16="E","정비를선택해주세요!",IF($AW$13="d","셀프","수입차셀프"))</f>
        <v>셀프</v>
      </c>
      <c r="BD74" s="128" t="s">
        <v>198</v>
      </c>
      <c r="BE74" s="115" t="s">
        <v>199</v>
      </c>
      <c r="BF74" s="116">
        <f ca="1">AT26</f>
        <v>647300</v>
      </c>
      <c r="BG74" s="117">
        <f ca="1">ROUNDDOWN(BF74/12,-2)</f>
        <v>53900</v>
      </c>
      <c r="BI74" s="68"/>
      <c r="BJ74"/>
    </row>
    <row r="75" spans="1:62" ht="15">
      <c r="A75" s="417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416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69"/>
      <c r="AK75" s="69"/>
      <c r="AN75" s="43"/>
      <c r="AO75" s="43"/>
      <c r="AV75" s="65"/>
      <c r="AW75" s="65"/>
      <c r="AX75" s="65"/>
      <c r="AY75" s="65"/>
      <c r="AZ75" s="68"/>
      <c r="BA75" s="516">
        <v>60</v>
      </c>
      <c r="BB75" s="519">
        <v>16</v>
      </c>
      <c r="BC75" s="67" t="str">
        <f ca="1">IF(AW16="E","e-Basic",IF($AW$13="d","정비를선택해주세요!","수입차셀프"))</f>
        <v>정비를선택해주세요!</v>
      </c>
      <c r="BD75" s="128" t="s">
        <v>210</v>
      </c>
      <c r="BE75" s="115" t="s">
        <v>207</v>
      </c>
      <c r="BF75" s="116">
        <f ca="1">$AO$33</f>
        <v>300216.63199999998</v>
      </c>
      <c r="BG75" s="117">
        <v>0</v>
      </c>
      <c r="BI75" s="68"/>
      <c r="BJ75"/>
    </row>
    <row r="76" spans="1:62" ht="15">
      <c r="A76" s="417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416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69"/>
      <c r="AF76" s="75"/>
      <c r="AG76" s="69"/>
      <c r="AH76" s="69"/>
      <c r="AI76" s="69"/>
      <c r="AJ76" s="69"/>
      <c r="AK76" s="69"/>
      <c r="AV76" s="65"/>
      <c r="AW76" s="65"/>
      <c r="AX76" s="65"/>
      <c r="AY76" s="65"/>
      <c r="AZ76" s="68"/>
      <c r="BA76" s="1081" t="s">
        <v>209</v>
      </c>
      <c r="BB76" s="1082">
        <v>2</v>
      </c>
      <c r="BC76" s="203" t="str">
        <f ca="1">IF(AW16="E","e-Self",IF($AW$13="d","정비를선택해주세요!","수입차셀프"))</f>
        <v>정비를선택해주세요!</v>
      </c>
      <c r="BD76" s="128"/>
      <c r="BE76" s="115" t="s">
        <v>211</v>
      </c>
      <c r="BF76" s="119">
        <f ca="1">IF(AW13="D",정비!BS27,정비!AA3)</f>
        <v>5966.666666666667</v>
      </c>
      <c r="BG76" s="117">
        <f ca="1">ROUNDDOWN((BF75/12)+BF76,-2)</f>
        <v>30900</v>
      </c>
      <c r="BJ76"/>
    </row>
    <row r="77" spans="1:62" ht="15.75" thickBot="1">
      <c r="A77" s="417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416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F77" s="75"/>
      <c r="AG77" s="69"/>
      <c r="AH77" s="69"/>
      <c r="AI77" s="69"/>
      <c r="AJ77" s="69"/>
      <c r="AK77" s="69"/>
      <c r="AV77" s="65"/>
      <c r="AW77" s="65"/>
      <c r="AX77" s="65"/>
      <c r="AY77" s="65"/>
      <c r="AZ77" s="68"/>
      <c r="BA77" s="1067" t="s">
        <v>879</v>
      </c>
      <c r="BB77" s="519"/>
      <c r="BC77" s="204" t="str">
        <f ca="1">BB68&amp;INDEX(BC69:BC76,BC68)</f>
        <v>60셀프</v>
      </c>
      <c r="BD77" s="205"/>
      <c r="BE77" s="115" t="s">
        <v>218</v>
      </c>
      <c r="BF77" s="119">
        <v>0</v>
      </c>
      <c r="BG77" s="117">
        <f>ROUNDDOWN(BF77/12,-2)</f>
        <v>0</v>
      </c>
      <c r="BJ77"/>
    </row>
    <row r="78" spans="1:62" ht="15">
      <c r="A78" s="417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413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F78" s="75"/>
      <c r="AG78" s="69"/>
      <c r="AH78" s="69"/>
      <c r="AI78" s="69"/>
      <c r="AJ78" s="69"/>
      <c r="AK78" s="69"/>
      <c r="AV78" s="65"/>
      <c r="AW78" s="65"/>
      <c r="AX78" s="65"/>
      <c r="AY78" s="65"/>
      <c r="AZ78" s="68"/>
      <c r="BA78" s="1067" t="s">
        <v>880</v>
      </c>
      <c r="BB78" s="519">
        <f ca="1">IFERROR(VLOOKUP(LEFT(INDEX(렌터카모델!T42:T186,렌터카모델!D41),1),#REF!,2,0),0)</f>
        <v>0</v>
      </c>
      <c r="BC78" s="135"/>
      <c r="BD78" s="136" t="s">
        <v>224</v>
      </c>
      <c r="BE78" s="137"/>
      <c r="BF78" s="138"/>
      <c r="BG78" s="139" t="e">
        <f ca="1">BG69*0.1</f>
        <v>#VALUE!</v>
      </c>
      <c r="BJ78"/>
    </row>
    <row r="79" spans="1:62" ht="15.75" thickBot="1">
      <c r="A79" s="417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413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F79" s="75"/>
      <c r="AG79" s="69"/>
      <c r="AH79" s="69"/>
      <c r="AI79" s="69"/>
      <c r="AJ79" s="69"/>
      <c r="AK79" s="69"/>
      <c r="AV79" s="65"/>
      <c r="AW79" s="65"/>
      <c r="AX79" s="65"/>
      <c r="AY79" s="65"/>
      <c r="BA79" s="1067" t="s">
        <v>881</v>
      </c>
      <c r="BB79" s="519">
        <f ca="1">IFERROR(VLOOKUP(LEFT(INDEX(렌터카모델!T42:T186,렌터카모델!D41),1),#REF!,2,0),0)</f>
        <v>0</v>
      </c>
      <c r="BC79" s="135"/>
      <c r="BD79" s="136" t="s">
        <v>228</v>
      </c>
      <c r="BE79" s="137"/>
      <c r="BF79" s="138"/>
      <c r="BG79" s="139" t="e">
        <f ca="1">BG69+BG78</f>
        <v>#VALUE!</v>
      </c>
      <c r="BJ79"/>
    </row>
    <row r="80" spans="1:62" ht="15.75" thickBot="1">
      <c r="A80" s="417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413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F80" s="75"/>
      <c r="AG80" s="69"/>
      <c r="AH80" s="69"/>
      <c r="AI80" s="69"/>
      <c r="AJ80" s="69"/>
      <c r="AK80" s="69"/>
      <c r="AV80" s="65"/>
      <c r="AW80" s="65"/>
      <c r="AX80" s="65"/>
      <c r="AY80" s="65"/>
      <c r="BA80" s="1067" t="s">
        <v>882</v>
      </c>
      <c r="BB80" s="519"/>
      <c r="BC80" s="206"/>
      <c r="BD80" s="207" t="s">
        <v>233</v>
      </c>
      <c r="BE80" s="137"/>
      <c r="BF80" s="145">
        <f>IF(BJ4=5,BF58,BB84)</f>
        <v>0</v>
      </c>
      <c r="BG80" s="139">
        <f>BF80/BB68</f>
        <v>0</v>
      </c>
      <c r="BJ80"/>
    </row>
    <row r="81" spans="1:62" ht="15">
      <c r="A81" s="417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413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F81" s="75"/>
      <c r="AG81" s="69"/>
      <c r="AH81" s="69"/>
      <c r="AI81" s="69"/>
      <c r="AJ81" s="69"/>
      <c r="AK81" s="69"/>
      <c r="AW81" s="65"/>
      <c r="AX81" s="65"/>
      <c r="AY81" s="65"/>
      <c r="BA81" s="1075" t="s">
        <v>323</v>
      </c>
      <c r="BB81" s="519">
        <f ca="1">IFERROR(VLOOKUP(LEFT(INDEX(렌터카모델!U42:U186,렌터카모델!D41),1),#REF!,2,0),0)</f>
        <v>0</v>
      </c>
      <c r="BC81" s="148"/>
      <c r="BD81" s="136" t="s">
        <v>238</v>
      </c>
      <c r="BE81" s="137"/>
      <c r="BF81" s="138"/>
      <c r="BG81" s="139" t="e">
        <f ca="1">BG79-BG80</f>
        <v>#VALUE!</v>
      </c>
      <c r="BJ81"/>
    </row>
    <row r="82" spans="1:62" ht="15">
      <c r="A82" s="417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413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F82" s="75"/>
      <c r="AG82" s="69"/>
      <c r="AH82" s="69"/>
      <c r="AI82" s="69"/>
      <c r="AJ82" s="69"/>
      <c r="AK82" s="69"/>
      <c r="BA82" s="1083" t="s">
        <v>176</v>
      </c>
      <c r="BB82" s="1084" t="e">
        <f>IF(BI12=2,"11000",IF(BJ4=5,BB18,ROUNDUP(ROUNDUP($AB$9*AA14/1.1,-4)*1.1,-3)))</f>
        <v>#VALUE!</v>
      </c>
      <c r="BC82" s="148"/>
      <c r="BD82" s="152"/>
      <c r="BE82" s="97"/>
      <c r="BF82" s="209"/>
      <c r="BG82" s="98"/>
      <c r="BJ82"/>
    </row>
    <row r="83" spans="1:62" ht="18.75" customHeight="1" thickBot="1">
      <c r="A83" s="417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413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F83" s="75"/>
      <c r="AG83" s="69"/>
      <c r="AH83" s="69"/>
      <c r="AI83" s="69"/>
      <c r="AJ83" s="69"/>
      <c r="AK83" s="69"/>
      <c r="AZ83" s="517" t="e">
        <f>IF(AA16&lt;=40%,AA16,40%+(AA16-40%)*VLOOKUP(BT15,$BS$18:$BT$21,2))</f>
        <v>#VALUE!</v>
      </c>
      <c r="BA83" s="1085" t="s">
        <v>894</v>
      </c>
      <c r="BB83" s="1084" t="e">
        <f>ROUNDUP($AB$9*AZ83,-4)</f>
        <v>#VALUE!</v>
      </c>
      <c r="BC83" s="214"/>
      <c r="BD83" s="155" t="s">
        <v>245</v>
      </c>
      <c r="BE83" s="991" t="e">
        <f ca="1">PMT((BG85)/12,BB68,-$AY$56-BB86-BB87-BB88-AX46-AX47+BB84+BB83,BF71-BB83)+BG80</f>
        <v>#VALUE!</v>
      </c>
      <c r="BF83" s="157" t="e">
        <f ca="1">IF(AW16="E",ROUNDUP(RATE(BB68,BE83,-$AY$56,BF71)*12,4),IF(AW12=0,"error",ROUNDUP(RATE(BB68,BE83,-$AY$56,BF71)*12,4)))</f>
        <v>#VALUE!</v>
      </c>
      <c r="BG83" s="158"/>
      <c r="BJ83"/>
    </row>
    <row r="84" spans="1:62" ht="18.75" customHeight="1" thickBot="1">
      <c r="A84" s="417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413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F84" s="75"/>
      <c r="AG84" s="69"/>
      <c r="AH84" s="69"/>
      <c r="AI84" s="69"/>
      <c r="AJ84" s="69"/>
      <c r="AK84" s="69"/>
      <c r="BA84" s="1085" t="s">
        <v>234</v>
      </c>
      <c r="BB84" s="1084">
        <f>IF(BJ4=5,BB20,IF(BC18=TRUE,AJ27,ROUNDUP(AB9*AJ27/100,-4)))</f>
        <v>0</v>
      </c>
      <c r="BC84" s="148"/>
      <c r="BD84" s="155" t="s">
        <v>250</v>
      </c>
      <c r="BE84" s="163">
        <f ca="1">IF(BJ4=1,BL13,BM13)+IF(BB68=60,0.003,0)+IF(BB76=5,0.01,0)</f>
        <v>7.1000000000000008E-2</v>
      </c>
      <c r="BF84" s="217" t="e">
        <f>IF(($AA$16+$AA$17)&gt;50%,"취급불가",IF(($AA$16+$AA$17)&gt;=40%,0.002,0))+BJ10</f>
        <v>#VALUE!</v>
      </c>
      <c r="BG84" s="455" t="e">
        <f ca="1">IF(OR(렌터카모델!B44=25,렌터카모델!B44=26),0.5%,0)+BE84+BF84-IF(AL5=1,0.01,IF(AL5=2,0.005,0))-IF(AND(BJ4=1,AJ30+AJ32&lt;=3%),0.005,IF(AND(BJ4=1,AJ30+AJ32&lt;=5%),0.002))</f>
        <v>#VALUE!</v>
      </c>
      <c r="BJ84"/>
    </row>
    <row r="85" spans="1:62" ht="18.75" customHeight="1" thickBot="1">
      <c r="A85" s="417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413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F85" s="75"/>
      <c r="AG85" s="69"/>
      <c r="AH85" s="69"/>
      <c r="AI85" s="69"/>
      <c r="AJ85" s="69"/>
      <c r="AK85" s="69"/>
      <c r="BA85" s="1085" t="s">
        <v>254</v>
      </c>
      <c r="BB85" s="1091">
        <f>IF(BJ4=4,BB21,BB84/(AW6+AW8))</f>
        <v>0</v>
      </c>
      <c r="BC85" s="148"/>
      <c r="BD85" s="166" t="b">
        <v>0</v>
      </c>
      <c r="BE85" s="68">
        <v>330</v>
      </c>
      <c r="BF85" s="219">
        <f>BE85/10000-3.3%</f>
        <v>0</v>
      </c>
      <c r="BG85" s="454" t="e">
        <f ca="1">IF(BD21=FALSE,BG84,BG84+BF85)</f>
        <v>#VALUE!</v>
      </c>
      <c r="BJ85"/>
    </row>
    <row r="86" spans="1:62" ht="18.75" customHeight="1">
      <c r="A86" s="417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413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F86" s="75"/>
      <c r="AG86" s="69"/>
      <c r="AH86" s="69"/>
      <c r="AI86" s="69"/>
      <c r="AJ86" s="69"/>
      <c r="AK86" s="69"/>
      <c r="BA86" s="1085" t="s">
        <v>258</v>
      </c>
      <c r="BB86" s="1084" t="e">
        <f ca="1">IF(AJ29="※ 인센티브하향","인센티브하향",($AJ$30*IF(AW16="E",AY55,$AB$9)+BB89))</f>
        <v>#VALUE!</v>
      </c>
      <c r="BC86" s="172"/>
      <c r="BD86" s="68"/>
      <c r="BE86" s="221">
        <f>IF(BJ46=1,BJ55,BK55)+IF(BB71=60,0.005,0)</f>
        <v>0</v>
      </c>
      <c r="BF86" s="68"/>
      <c r="BG86" s="221" t="e">
        <f>+BE86+BF84</f>
        <v>#VALUE!</v>
      </c>
      <c r="BJ86"/>
    </row>
    <row r="87" spans="1:62" ht="18.75" customHeight="1">
      <c r="A87" s="417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413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F87" s="75"/>
      <c r="AG87" s="69"/>
      <c r="AH87" s="69"/>
      <c r="AI87" s="69"/>
      <c r="AJ87" s="69"/>
      <c r="AK87" s="69"/>
      <c r="BA87" s="1085" t="s">
        <v>264</v>
      </c>
      <c r="BB87" s="1086">
        <f ca="1">$AJ$32*IF(AW16="E",AY55,$AB$9)</f>
        <v>0</v>
      </c>
      <c r="BJ87"/>
    </row>
    <row r="88" spans="1:62" ht="18.75" customHeight="1">
      <c r="A88" s="417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413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F88" s="75"/>
      <c r="AG88" s="69"/>
      <c r="AH88" s="69"/>
      <c r="AI88" s="69"/>
      <c r="AJ88" s="69"/>
      <c r="AK88" s="69"/>
      <c r="BA88" s="1089" t="s">
        <v>266</v>
      </c>
      <c r="BB88" s="1090">
        <f>IF(BI12=4,1.5%*AB9,IF(BI12=3,1.5%*AB9,0))</f>
        <v>0</v>
      </c>
      <c r="BJ88"/>
    </row>
    <row r="89" spans="1:62" ht="18.75" customHeight="1">
      <c r="A89" s="417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413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F89" s="75"/>
      <c r="AG89" s="69"/>
      <c r="AH89" s="69"/>
      <c r="AI89" s="69"/>
      <c r="AJ89" s="69"/>
      <c r="AK89" s="69"/>
      <c r="BA89" s="516" t="s">
        <v>267</v>
      </c>
      <c r="BB89" s="521" t="e">
        <f>(AB16+BB84)/AW10</f>
        <v>#VALUE!</v>
      </c>
      <c r="BJ89"/>
    </row>
    <row r="90" spans="1:62" ht="18.75" customHeight="1" thickBot="1">
      <c r="A90" s="417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413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F90" s="75"/>
      <c r="AG90" s="69"/>
      <c r="AH90" s="69"/>
      <c r="AI90" s="69"/>
      <c r="AJ90" s="69"/>
      <c r="AK90" s="69"/>
      <c r="BA90" s="1087" t="s">
        <v>269</v>
      </c>
      <c r="BB90" s="1088" t="e">
        <f>+BB89+AA14</f>
        <v>#VALUE!</v>
      </c>
      <c r="BJ90"/>
    </row>
    <row r="91" spans="1:62" ht="18.75" customHeight="1">
      <c r="A91" s="417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413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F91" s="75"/>
      <c r="AG91" s="69"/>
      <c r="AH91" s="69"/>
      <c r="AI91" s="69"/>
      <c r="AJ91" s="69"/>
      <c r="AK91" s="69"/>
      <c r="BJ91"/>
    </row>
    <row r="92" spans="1:62" ht="15">
      <c r="A92" s="417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413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F92" s="75"/>
      <c r="AG92" s="69"/>
      <c r="AH92" s="69"/>
      <c r="AI92" s="69"/>
      <c r="AJ92" s="69"/>
      <c r="AK92" s="69"/>
      <c r="BJ92"/>
    </row>
    <row r="93" spans="1:62" ht="15">
      <c r="A93" s="417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413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F93" s="75"/>
      <c r="AG93" s="69"/>
      <c r="AH93" s="69"/>
      <c r="AI93" s="69"/>
      <c r="AJ93" s="69"/>
      <c r="AK93" s="69"/>
      <c r="BJ93"/>
    </row>
    <row r="94" spans="1:62" ht="15">
      <c r="A94" s="417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413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F94" s="75"/>
      <c r="AG94" s="69"/>
      <c r="AH94" s="69"/>
      <c r="AI94" s="69"/>
      <c r="AJ94" s="69"/>
      <c r="AK94" s="69"/>
      <c r="BJ94"/>
    </row>
    <row r="95" spans="1:62" ht="15">
      <c r="A95" s="417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413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  <c r="AF95" s="75"/>
      <c r="AG95" s="69"/>
      <c r="AH95" s="69"/>
      <c r="AI95" s="69"/>
      <c r="AJ95" s="69"/>
      <c r="AK95" s="69"/>
      <c r="BJ95"/>
    </row>
    <row r="96" spans="1:62" ht="15">
      <c r="A96" s="417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413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F96" s="75"/>
      <c r="AG96" s="69"/>
      <c r="AH96" s="69"/>
      <c r="AI96" s="69"/>
      <c r="AJ96" s="69"/>
      <c r="AK96" s="69"/>
      <c r="BJ96"/>
    </row>
    <row r="97" spans="1:62" ht="15">
      <c r="A97" s="417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413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F97" s="75"/>
      <c r="AG97" s="69"/>
      <c r="AH97" s="69"/>
      <c r="AI97" s="69"/>
      <c r="AJ97" s="69"/>
      <c r="AK97" s="69"/>
      <c r="BJ97"/>
    </row>
    <row r="98" spans="1:62" ht="15">
      <c r="A98" s="417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413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F98" s="75"/>
      <c r="AG98" s="69"/>
      <c r="AH98" s="69"/>
      <c r="AI98" s="69"/>
      <c r="AJ98" s="69"/>
      <c r="AK98" s="69"/>
      <c r="BJ98"/>
    </row>
    <row r="99" spans="1:62" ht="15">
      <c r="A99" s="417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413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F99" s="75"/>
      <c r="AG99" s="69"/>
      <c r="AH99" s="69"/>
      <c r="AI99" s="69"/>
      <c r="AJ99" s="69"/>
      <c r="AK99" s="69"/>
      <c r="BJ99"/>
    </row>
    <row r="100" spans="1:62" ht="15">
      <c r="A100" s="417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413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F100" s="75"/>
      <c r="AG100" s="69"/>
      <c r="AH100" s="69"/>
      <c r="AI100" s="69"/>
      <c r="AJ100" s="69"/>
      <c r="AK100" s="69"/>
      <c r="BJ100"/>
    </row>
    <row r="101" spans="1:62" ht="15">
      <c r="A101" s="417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413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F101" s="75"/>
      <c r="AG101" s="69"/>
      <c r="AH101" s="69"/>
      <c r="AI101" s="69"/>
      <c r="AJ101" s="69"/>
      <c r="AK101" s="69"/>
      <c r="BJ101"/>
    </row>
    <row r="102" spans="1:62" ht="15">
      <c r="A102" s="417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413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F102" s="75"/>
      <c r="AG102" s="69"/>
      <c r="AH102" s="69"/>
      <c r="AI102" s="69"/>
      <c r="AJ102" s="69"/>
      <c r="AK102" s="69"/>
      <c r="BJ102"/>
    </row>
    <row r="103" spans="1:62" ht="15">
      <c r="A103" s="417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413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6"/>
      <c r="AF103" s="75"/>
      <c r="AG103" s="69"/>
      <c r="AH103" s="69"/>
      <c r="AI103" s="69"/>
      <c r="AJ103" s="69"/>
      <c r="AK103" s="69"/>
      <c r="BJ103"/>
    </row>
    <row r="104" spans="1:62" ht="15">
      <c r="A104" s="417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413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F104" s="75"/>
      <c r="AG104" s="69"/>
      <c r="AH104" s="69"/>
      <c r="AI104" s="69"/>
      <c r="AJ104" s="69"/>
      <c r="AK104" s="69"/>
      <c r="BJ104"/>
    </row>
    <row r="105" spans="1:62" ht="15">
      <c r="A105" s="417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413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F105" s="75"/>
      <c r="AG105" s="69"/>
      <c r="AH105" s="69"/>
      <c r="AI105" s="69"/>
      <c r="AJ105" s="69"/>
      <c r="AK105" s="69"/>
      <c r="BJ105"/>
    </row>
    <row r="106" spans="1:62" ht="15">
      <c r="A106" s="417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413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F106" s="75"/>
      <c r="AG106" s="69"/>
      <c r="AH106" s="69"/>
      <c r="AI106" s="69"/>
      <c r="AJ106" s="69"/>
      <c r="AK106" s="69"/>
      <c r="BJ106"/>
    </row>
    <row r="107" spans="1:62" ht="15">
      <c r="A107" s="417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413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F107" s="75"/>
      <c r="AG107" s="69"/>
      <c r="AH107" s="69"/>
      <c r="AI107" s="69"/>
      <c r="AJ107" s="69"/>
      <c r="AK107" s="69"/>
      <c r="BJ107"/>
    </row>
    <row r="108" spans="1:62" ht="15">
      <c r="A108" s="417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413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F108" s="75"/>
      <c r="AG108" s="69"/>
      <c r="AH108" s="69"/>
      <c r="AI108" s="69"/>
      <c r="AJ108" s="69"/>
      <c r="AK108" s="69"/>
      <c r="BJ108"/>
    </row>
    <row r="109" spans="1:62" ht="15">
      <c r="A109" s="417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413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F109" s="75"/>
      <c r="AG109" s="69"/>
      <c r="AH109" s="69"/>
      <c r="AI109" s="69"/>
      <c r="AJ109" s="69"/>
      <c r="AK109" s="69"/>
      <c r="BJ109"/>
    </row>
    <row r="110" spans="1:62" ht="15">
      <c r="A110" s="417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413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6"/>
      <c r="AF110" s="75"/>
      <c r="AG110" s="69"/>
      <c r="AH110" s="69"/>
      <c r="AI110" s="69"/>
      <c r="AJ110" s="69"/>
      <c r="AK110" s="69"/>
      <c r="BJ110"/>
    </row>
    <row r="111" spans="1:62" ht="15">
      <c r="A111" s="417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413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6"/>
      <c r="AF111" s="75"/>
      <c r="AG111" s="69"/>
      <c r="AH111" s="69"/>
      <c r="AI111" s="69"/>
      <c r="AJ111" s="69"/>
      <c r="AK111" s="69"/>
      <c r="BJ111"/>
    </row>
    <row r="112" spans="1:62" ht="15">
      <c r="AF112" s="75"/>
      <c r="AG112" s="69"/>
      <c r="AH112" s="69"/>
      <c r="AI112" s="69"/>
      <c r="AJ112" s="69"/>
      <c r="AK112" s="69"/>
      <c r="BJ112"/>
    </row>
    <row r="113" spans="32:62" ht="15">
      <c r="AF113" s="75"/>
      <c r="AG113" s="69"/>
      <c r="AH113" s="69"/>
      <c r="AI113" s="69"/>
      <c r="AJ113" s="69"/>
      <c r="AK113" s="69"/>
      <c r="BJ113"/>
    </row>
    <row r="114" spans="32:62" ht="15">
      <c r="AF114" s="75"/>
      <c r="AG114" s="69"/>
      <c r="AH114" s="69"/>
      <c r="AI114" s="69"/>
      <c r="AJ114" s="69"/>
      <c r="AK114" s="69"/>
      <c r="BJ114"/>
    </row>
    <row r="115" spans="32:62" ht="15">
      <c r="AF115" s="75"/>
      <c r="AG115" s="69"/>
      <c r="AH115" s="69"/>
      <c r="AI115" s="69"/>
      <c r="AJ115" s="69"/>
      <c r="AK115" s="69"/>
      <c r="BJ115"/>
    </row>
    <row r="116" spans="32:62" ht="15">
      <c r="AF116" s="75"/>
      <c r="AG116" s="69"/>
      <c r="AH116" s="69"/>
      <c r="AI116" s="69"/>
      <c r="AJ116" s="69"/>
      <c r="AK116" s="69"/>
      <c r="BJ116"/>
    </row>
    <row r="117" spans="32:62" ht="15">
      <c r="AF117" s="75"/>
      <c r="AG117" s="69"/>
      <c r="AH117" s="69"/>
      <c r="AI117" s="69"/>
      <c r="AJ117" s="69"/>
      <c r="AK117" s="69"/>
      <c r="BJ117"/>
    </row>
    <row r="118" spans="32:62" ht="15">
      <c r="AF118" s="75"/>
      <c r="AG118" s="69"/>
      <c r="AH118" s="69"/>
      <c r="AI118" s="69"/>
      <c r="AJ118" s="69"/>
      <c r="AK118" s="69"/>
      <c r="BJ118"/>
    </row>
    <row r="119" spans="32:62" ht="15">
      <c r="AF119" s="75"/>
      <c r="AG119" s="69"/>
      <c r="AH119" s="69"/>
      <c r="AI119" s="69"/>
      <c r="AJ119" s="69"/>
      <c r="AK119" s="69"/>
      <c r="BJ119"/>
    </row>
    <row r="120" spans="32:62" ht="15">
      <c r="AF120" s="75"/>
      <c r="AG120" s="69"/>
      <c r="AH120" s="69"/>
      <c r="AI120" s="69"/>
      <c r="AJ120" s="69"/>
      <c r="AK120" s="69"/>
      <c r="BJ120"/>
    </row>
    <row r="121" spans="32:62" ht="15">
      <c r="AF121" s="75"/>
      <c r="AG121" s="69"/>
      <c r="AH121" s="69"/>
      <c r="AI121" s="69"/>
      <c r="AJ121" s="69"/>
      <c r="AK121" s="69"/>
      <c r="BJ121"/>
    </row>
    <row r="122" spans="32:62" ht="15">
      <c r="AF122" s="75"/>
      <c r="AG122" s="69"/>
      <c r="AH122" s="69"/>
      <c r="AI122" s="69"/>
      <c r="AJ122" s="69"/>
      <c r="AK122" s="69"/>
      <c r="BJ122"/>
    </row>
    <row r="123" spans="32:62" ht="15">
      <c r="AF123" s="75"/>
      <c r="AG123" s="69"/>
      <c r="AH123" s="69"/>
      <c r="AI123" s="69"/>
      <c r="AJ123" s="69"/>
      <c r="AK123" s="69"/>
      <c r="BJ123"/>
    </row>
    <row r="124" spans="32:62" ht="15">
      <c r="AF124" s="75"/>
      <c r="AG124" s="69"/>
      <c r="AH124" s="69"/>
      <c r="AI124" s="69"/>
      <c r="AJ124" s="69"/>
      <c r="AK124" s="69"/>
      <c r="BJ124"/>
    </row>
    <row r="125" spans="32:62" ht="15">
      <c r="AF125" s="75"/>
      <c r="AG125" s="69"/>
      <c r="AH125" s="69"/>
      <c r="AI125" s="69"/>
      <c r="AJ125" s="69"/>
      <c r="AK125" s="69"/>
      <c r="BJ125"/>
    </row>
    <row r="126" spans="32:62" ht="15">
      <c r="AF126" s="75"/>
      <c r="AG126" s="69"/>
      <c r="AH126" s="69"/>
      <c r="AI126" s="69"/>
      <c r="AJ126" s="69"/>
      <c r="AK126" s="69"/>
      <c r="BJ126"/>
    </row>
    <row r="127" spans="32:62" ht="15">
      <c r="AF127" s="75"/>
      <c r="AG127" s="69"/>
      <c r="AH127" s="69"/>
      <c r="AI127" s="69"/>
      <c r="AJ127" s="69"/>
      <c r="AK127" s="69"/>
      <c r="BJ127"/>
    </row>
    <row r="128" spans="32:62" ht="15">
      <c r="AF128" s="75"/>
      <c r="AG128" s="69"/>
      <c r="AH128" s="69"/>
      <c r="AI128" s="69"/>
      <c r="AJ128" s="69"/>
      <c r="AK128" s="69"/>
      <c r="BJ128"/>
    </row>
    <row r="129" spans="32:62" ht="15">
      <c r="AF129" s="75"/>
      <c r="AG129" s="69"/>
      <c r="AH129" s="69"/>
      <c r="AI129" s="69"/>
      <c r="AJ129" s="69"/>
      <c r="AK129" s="69"/>
      <c r="BJ129"/>
    </row>
    <row r="130" spans="32:62" ht="15">
      <c r="AF130" s="75"/>
      <c r="AG130" s="69"/>
      <c r="AH130" s="69"/>
      <c r="AI130" s="69"/>
      <c r="AJ130" s="69"/>
      <c r="AK130" s="69"/>
      <c r="BJ130"/>
    </row>
    <row r="131" spans="32:62" ht="15">
      <c r="AF131" s="75"/>
      <c r="AG131" s="69"/>
      <c r="AH131" s="69"/>
      <c r="AI131" s="69"/>
      <c r="AJ131" s="69"/>
      <c r="AK131" s="69"/>
      <c r="BJ131"/>
    </row>
    <row r="132" spans="32:62" ht="15">
      <c r="AF132" s="75"/>
      <c r="AG132" s="69"/>
      <c r="AH132" s="69"/>
      <c r="AI132" s="69"/>
      <c r="AJ132" s="69"/>
      <c r="AK132" s="69"/>
      <c r="BJ132"/>
    </row>
    <row r="133" spans="32:62" ht="15">
      <c r="AF133" s="75"/>
      <c r="AG133" s="69"/>
      <c r="AH133" s="69"/>
      <c r="AI133" s="69"/>
      <c r="AJ133" s="69"/>
      <c r="AK133" s="69"/>
      <c r="BJ133"/>
    </row>
    <row r="134" spans="32:62" ht="15">
      <c r="AF134" s="75"/>
      <c r="AG134" s="69"/>
      <c r="AH134" s="69"/>
      <c r="AI134" s="69"/>
      <c r="AJ134" s="69"/>
      <c r="AK134" s="69"/>
      <c r="BJ134"/>
    </row>
    <row r="135" spans="32:62" ht="15">
      <c r="AF135" s="75"/>
      <c r="AG135" s="69"/>
      <c r="AH135" s="69"/>
      <c r="AI135" s="69"/>
      <c r="AJ135" s="69"/>
      <c r="AK135" s="69"/>
      <c r="BJ135"/>
    </row>
    <row r="136" spans="32:62" ht="15">
      <c r="AF136" s="75"/>
      <c r="AG136" s="69"/>
      <c r="AH136" s="69"/>
      <c r="AI136" s="69"/>
      <c r="AJ136" s="69"/>
      <c r="AK136" s="69"/>
      <c r="BJ136"/>
    </row>
    <row r="137" spans="32:62" ht="15">
      <c r="AF137" s="75"/>
      <c r="AG137" s="69"/>
      <c r="AH137" s="69"/>
      <c r="AI137" s="69"/>
      <c r="AJ137" s="69"/>
      <c r="AK137" s="69"/>
      <c r="BJ137"/>
    </row>
    <row r="138" spans="32:62" ht="15">
      <c r="AF138" s="75"/>
      <c r="AG138" s="69"/>
      <c r="AH138" s="69"/>
      <c r="AI138" s="69"/>
      <c r="AJ138" s="69"/>
      <c r="AK138" s="69"/>
      <c r="BJ138"/>
    </row>
    <row r="139" spans="32:62" ht="15">
      <c r="AF139" s="75"/>
      <c r="AG139" s="69"/>
      <c r="AH139" s="69"/>
      <c r="AI139" s="69"/>
      <c r="AJ139" s="69"/>
      <c r="AK139" s="69"/>
      <c r="BJ139"/>
    </row>
    <row r="140" spans="32:62" ht="15">
      <c r="AF140" s="75"/>
      <c r="AG140" s="69"/>
      <c r="AH140" s="69"/>
      <c r="AI140" s="69"/>
      <c r="AJ140" s="69"/>
      <c r="AK140" s="69"/>
      <c r="BJ140"/>
    </row>
    <row r="141" spans="32:62" ht="15">
      <c r="AF141" s="75"/>
      <c r="AG141" s="69"/>
      <c r="AH141" s="69"/>
      <c r="AI141" s="69"/>
      <c r="AJ141" s="69"/>
      <c r="AK141" s="69"/>
      <c r="BJ141"/>
    </row>
    <row r="142" spans="32:62" ht="15">
      <c r="AF142" s="75"/>
      <c r="AG142" s="69"/>
      <c r="AH142" s="69"/>
      <c r="AI142" s="69"/>
      <c r="AJ142" s="69"/>
      <c r="AK142" s="69"/>
      <c r="BJ142"/>
    </row>
    <row r="143" spans="32:62" ht="15">
      <c r="AF143" s="75"/>
      <c r="AG143" s="69"/>
      <c r="AH143" s="69"/>
      <c r="AI143" s="69"/>
      <c r="AJ143" s="69"/>
      <c r="AK143" s="69"/>
      <c r="BJ143"/>
    </row>
    <row r="144" spans="32:62" ht="15">
      <c r="AF144" s="75"/>
      <c r="AG144" s="69"/>
      <c r="AH144" s="69"/>
      <c r="AI144" s="69"/>
      <c r="AJ144" s="69"/>
      <c r="AK144" s="69"/>
      <c r="BJ144"/>
    </row>
    <row r="145" spans="32:37" ht="15">
      <c r="AF145" s="75"/>
      <c r="AG145" s="69"/>
      <c r="AH145" s="69"/>
      <c r="AI145" s="69"/>
      <c r="AJ145" s="69"/>
      <c r="AK145" s="69"/>
    </row>
    <row r="146" spans="32:37" ht="15">
      <c r="AF146" s="75"/>
      <c r="AG146" s="69"/>
      <c r="AH146" s="69"/>
      <c r="AI146" s="69"/>
      <c r="AJ146" s="69"/>
      <c r="AK146" s="69"/>
    </row>
    <row r="147" spans="32:37" ht="15">
      <c r="AF147" s="75"/>
      <c r="AG147" s="69"/>
      <c r="AH147" s="69"/>
      <c r="AI147" s="69"/>
      <c r="AJ147" s="69"/>
      <c r="AK147" s="69"/>
    </row>
    <row r="148" spans="32:37" ht="15">
      <c r="AF148" s="75"/>
      <c r="AG148" s="69"/>
      <c r="AH148" s="69"/>
      <c r="AI148" s="69"/>
      <c r="AJ148" s="69"/>
      <c r="AK148" s="69"/>
    </row>
    <row r="149" spans="32:37" ht="15">
      <c r="AF149" s="75"/>
      <c r="AG149" s="69"/>
      <c r="AH149" s="69"/>
      <c r="AI149" s="69"/>
      <c r="AJ149" s="69"/>
      <c r="AK149" s="69"/>
    </row>
    <row r="150" spans="32:37" ht="15">
      <c r="AF150" s="75"/>
      <c r="AG150" s="69"/>
      <c r="AH150" s="69"/>
      <c r="AI150" s="69"/>
      <c r="AJ150" s="69"/>
      <c r="AK150" s="69"/>
    </row>
    <row r="151" spans="32:37" ht="15">
      <c r="AF151" s="75"/>
      <c r="AG151" s="69"/>
      <c r="AH151" s="69"/>
      <c r="AI151" s="69"/>
      <c r="AJ151" s="69"/>
      <c r="AK151" s="69"/>
    </row>
    <row r="152" spans="32:37" ht="15">
      <c r="AF152" s="75"/>
      <c r="AG152" s="69"/>
      <c r="AH152" s="69"/>
      <c r="AI152" s="69"/>
      <c r="AJ152" s="69"/>
      <c r="AK152" s="69"/>
    </row>
    <row r="153" spans="32:37" ht="15">
      <c r="AF153" s="75"/>
      <c r="AG153" s="69"/>
      <c r="AH153" s="69"/>
      <c r="AI153" s="69"/>
      <c r="AJ153" s="69"/>
      <c r="AK153" s="69"/>
    </row>
    <row r="154" spans="32:37" ht="15">
      <c r="AF154" s="75"/>
      <c r="AG154" s="69"/>
      <c r="AH154" s="69"/>
      <c r="AI154" s="69"/>
      <c r="AJ154" s="69"/>
      <c r="AK154" s="69"/>
    </row>
    <row r="155" spans="32:37" ht="15">
      <c r="AF155" s="75"/>
      <c r="AG155" s="69"/>
      <c r="AH155" s="69"/>
      <c r="AI155" s="69"/>
      <c r="AJ155" s="69"/>
      <c r="AK155" s="69"/>
    </row>
    <row r="156" spans="32:37" ht="15">
      <c r="AF156" s="75"/>
      <c r="AG156" s="69"/>
      <c r="AH156" s="69"/>
      <c r="AI156" s="69"/>
      <c r="AJ156" s="69"/>
      <c r="AK156" s="69"/>
    </row>
    <row r="157" spans="32:37" ht="15">
      <c r="AF157" s="75"/>
      <c r="AG157" s="69"/>
      <c r="AH157" s="69"/>
      <c r="AI157" s="69"/>
      <c r="AJ157" s="69"/>
      <c r="AK157" s="69"/>
    </row>
    <row r="158" spans="32:37" ht="15">
      <c r="AF158" s="75"/>
      <c r="AG158" s="69"/>
      <c r="AH158" s="69"/>
      <c r="AI158" s="69"/>
      <c r="AJ158" s="69"/>
      <c r="AK158" s="69"/>
    </row>
    <row r="159" spans="32:37" ht="15">
      <c r="AF159" s="75"/>
      <c r="AG159" s="69"/>
      <c r="AH159" s="69"/>
      <c r="AI159" s="69"/>
      <c r="AJ159" s="69"/>
      <c r="AK159" s="69"/>
    </row>
    <row r="160" spans="32:37" ht="15">
      <c r="AF160" s="75"/>
      <c r="AG160" s="69"/>
      <c r="AH160" s="69"/>
      <c r="AI160" s="69"/>
      <c r="AJ160" s="69"/>
      <c r="AK160" s="69"/>
    </row>
    <row r="161" spans="32:37" ht="15">
      <c r="AF161" s="75"/>
      <c r="AG161" s="69"/>
      <c r="AH161" s="69"/>
      <c r="AI161" s="69"/>
      <c r="AJ161" s="69"/>
      <c r="AK161" s="69"/>
    </row>
    <row r="162" spans="32:37" ht="15">
      <c r="AF162" s="75"/>
      <c r="AG162" s="69"/>
      <c r="AH162" s="69"/>
      <c r="AI162" s="69"/>
      <c r="AJ162" s="69"/>
      <c r="AK162" s="69"/>
    </row>
    <row r="163" spans="32:37" ht="15">
      <c r="AF163" s="75"/>
      <c r="AG163" s="69"/>
      <c r="AH163" s="69"/>
      <c r="AI163" s="69"/>
      <c r="AJ163" s="69"/>
      <c r="AK163" s="69"/>
    </row>
    <row r="164" spans="32:37" ht="15">
      <c r="AF164" s="75"/>
      <c r="AG164" s="69"/>
      <c r="AH164" s="69"/>
      <c r="AI164" s="69"/>
      <c r="AJ164" s="69"/>
      <c r="AK164" s="69"/>
    </row>
    <row r="165" spans="32:37" ht="15">
      <c r="AF165" s="75"/>
      <c r="AG165" s="69"/>
      <c r="AH165" s="69"/>
      <c r="AI165" s="69"/>
      <c r="AJ165" s="69"/>
      <c r="AK165" s="69"/>
    </row>
    <row r="166" spans="32:37" ht="15">
      <c r="AF166" s="75"/>
      <c r="AG166" s="69"/>
      <c r="AH166" s="69"/>
      <c r="AI166" s="69"/>
      <c r="AJ166" s="69"/>
      <c r="AK166" s="69"/>
    </row>
    <row r="167" spans="32:37" ht="15">
      <c r="AF167" s="75"/>
      <c r="AG167" s="69"/>
      <c r="AH167" s="69"/>
      <c r="AI167" s="69"/>
      <c r="AJ167" s="69"/>
      <c r="AK167" s="69"/>
    </row>
    <row r="168" spans="32:37" ht="15">
      <c r="AF168" s="75"/>
      <c r="AG168" s="69"/>
      <c r="AH168" s="69"/>
      <c r="AI168" s="69"/>
      <c r="AJ168" s="69"/>
      <c r="AK168" s="69"/>
    </row>
    <row r="169" spans="32:37" ht="15">
      <c r="AF169" s="75"/>
      <c r="AG169" s="69"/>
      <c r="AH169" s="69"/>
      <c r="AI169" s="69"/>
      <c r="AJ169" s="69"/>
      <c r="AK169" s="69"/>
    </row>
    <row r="170" spans="32:37" ht="15">
      <c r="AF170" s="75"/>
      <c r="AG170" s="69"/>
      <c r="AH170" s="69"/>
      <c r="AI170" s="69"/>
      <c r="AJ170" s="69"/>
      <c r="AK170" s="69"/>
    </row>
    <row r="171" spans="32:37" ht="15">
      <c r="AF171" s="75"/>
      <c r="AG171" s="69"/>
      <c r="AH171" s="69"/>
      <c r="AI171" s="69"/>
      <c r="AJ171" s="69"/>
      <c r="AK171" s="69"/>
    </row>
    <row r="172" spans="32:37" ht="15">
      <c r="AF172" s="75"/>
      <c r="AG172" s="69"/>
      <c r="AH172" s="69"/>
      <c r="AI172" s="69"/>
      <c r="AJ172" s="69"/>
    </row>
    <row r="173" spans="32:37" ht="15">
      <c r="AF173" s="75"/>
      <c r="AG173" s="69"/>
      <c r="AH173" s="69"/>
      <c r="AI173" s="69"/>
      <c r="AJ173" s="69"/>
    </row>
    <row r="174" spans="32:37" ht="15">
      <c r="AF174" s="75"/>
      <c r="AG174" s="69"/>
      <c r="AH174" s="69"/>
      <c r="AI174" s="69"/>
      <c r="AJ174" s="69"/>
    </row>
  </sheetData>
  <mergeCells count="237">
    <mergeCell ref="AN47:AP47"/>
    <mergeCell ref="AO41:AP41"/>
    <mergeCell ref="AO42:AP42"/>
    <mergeCell ref="AO43:AP43"/>
    <mergeCell ref="AO44:AP44"/>
    <mergeCell ref="AO45:AP45"/>
    <mergeCell ref="AO46:AP46"/>
    <mergeCell ref="AE14:AE17"/>
    <mergeCell ref="P21:S21"/>
    <mergeCell ref="T21:X21"/>
    <mergeCell ref="T22:X22"/>
    <mergeCell ref="AE18:AE20"/>
    <mergeCell ref="AE21:AE22"/>
    <mergeCell ref="AE23:AE28"/>
    <mergeCell ref="AE29:AE33"/>
    <mergeCell ref="AG19:AH19"/>
    <mergeCell ref="R32:T32"/>
    <mergeCell ref="R33:T33"/>
    <mergeCell ref="R41:U42"/>
    <mergeCell ref="Q40:S40"/>
    <mergeCell ref="AG44:AH44"/>
    <mergeCell ref="AG35:AH35"/>
    <mergeCell ref="AI41:AJ44"/>
    <mergeCell ref="E32:F32"/>
    <mergeCell ref="H32:I32"/>
    <mergeCell ref="AA24:AB24"/>
    <mergeCell ref="AG34:AH34"/>
    <mergeCell ref="AG30:AH30"/>
    <mergeCell ref="AG31:AH31"/>
    <mergeCell ref="AG32:AH32"/>
    <mergeCell ref="AG33:AH33"/>
    <mergeCell ref="AF30:AF31"/>
    <mergeCell ref="AF32:AF33"/>
    <mergeCell ref="AG29:AH29"/>
    <mergeCell ref="AG27:AH27"/>
    <mergeCell ref="AG26:AH26"/>
    <mergeCell ref="U32:W32"/>
    <mergeCell ref="P33:Q33"/>
    <mergeCell ref="B26:E26"/>
    <mergeCell ref="B25:E25"/>
    <mergeCell ref="P32:Q32"/>
    <mergeCell ref="N33:O33"/>
    <mergeCell ref="J32:M32"/>
    <mergeCell ref="J33:M33"/>
    <mergeCell ref="F26:O26"/>
    <mergeCell ref="F25:K25"/>
    <mergeCell ref="L25:N25"/>
    <mergeCell ref="AP2:AQ2"/>
    <mergeCell ref="T16:X16"/>
    <mergeCell ref="AG7:AH7"/>
    <mergeCell ref="P16:S16"/>
    <mergeCell ref="AF2:AJ2"/>
    <mergeCell ref="Y2:AC2"/>
    <mergeCell ref="AB4:AC4"/>
    <mergeCell ref="AG13:AJ13"/>
    <mergeCell ref="P14:S14"/>
    <mergeCell ref="T14:X14"/>
    <mergeCell ref="B11:Y11"/>
    <mergeCell ref="B14:D14"/>
    <mergeCell ref="J14:N14"/>
    <mergeCell ref="F16:I16"/>
    <mergeCell ref="J16:N16"/>
    <mergeCell ref="N9:Q9"/>
    <mergeCell ref="AG9:AH9"/>
    <mergeCell ref="C16:E16"/>
    <mergeCell ref="V3:Z3"/>
    <mergeCell ref="B7:D7"/>
    <mergeCell ref="E7:Z7"/>
    <mergeCell ref="AF6:AJ6"/>
    <mergeCell ref="AG10:AH10"/>
    <mergeCell ref="AB7:AC7"/>
    <mergeCell ref="AK7:AK9"/>
    <mergeCell ref="AE4:AE5"/>
    <mergeCell ref="B2:J3"/>
    <mergeCell ref="W4:Z4"/>
    <mergeCell ref="AG3:AH3"/>
    <mergeCell ref="AB3:AC3"/>
    <mergeCell ref="V5:AC5"/>
    <mergeCell ref="N8:Q8"/>
    <mergeCell ref="B9:D9"/>
    <mergeCell ref="E9:I9"/>
    <mergeCell ref="AB9:AC9"/>
    <mergeCell ref="AE7:AE12"/>
    <mergeCell ref="C17:E17"/>
    <mergeCell ref="P17:S17"/>
    <mergeCell ref="T17:X17"/>
    <mergeCell ref="P15:S15"/>
    <mergeCell ref="T15:X15"/>
    <mergeCell ref="B10:D10"/>
    <mergeCell ref="B13:E13"/>
    <mergeCell ref="B6:D6"/>
    <mergeCell ref="AG11:AH11"/>
    <mergeCell ref="E6:U6"/>
    <mergeCell ref="V6:W6"/>
    <mergeCell ref="X6:Z6"/>
    <mergeCell ref="AG8:AI8"/>
    <mergeCell ref="AB11:AC11"/>
    <mergeCell ref="AB8:AD8"/>
    <mergeCell ref="Z12:AC12"/>
    <mergeCell ref="F12:N12"/>
    <mergeCell ref="B8:D8"/>
    <mergeCell ref="E8:I8"/>
    <mergeCell ref="R8:Z9"/>
    <mergeCell ref="J8:M8"/>
    <mergeCell ref="AB6:AC6"/>
    <mergeCell ref="AB10:AC10"/>
    <mergeCell ref="J9:M9"/>
    <mergeCell ref="BQ4:BR4"/>
    <mergeCell ref="F5:Q5"/>
    <mergeCell ref="AG16:AH16"/>
    <mergeCell ref="F18:N18"/>
    <mergeCell ref="BQ12:BR12"/>
    <mergeCell ref="F13:I13"/>
    <mergeCell ref="J13:N13"/>
    <mergeCell ref="P13:S13"/>
    <mergeCell ref="T13:X13"/>
    <mergeCell ref="AG15:AH15"/>
    <mergeCell ref="AG12:AH12"/>
    <mergeCell ref="BJ11:BK11"/>
    <mergeCell ref="BL11:BM11"/>
    <mergeCell ref="P12:Y12"/>
    <mergeCell ref="AF14:AH14"/>
    <mergeCell ref="F14:I14"/>
    <mergeCell ref="E10:Z10"/>
    <mergeCell ref="AP3:AP4"/>
    <mergeCell ref="BA3:BB3"/>
    <mergeCell ref="AS9:AT9"/>
    <mergeCell ref="BI3:BK3"/>
    <mergeCell ref="AF5:AH5"/>
    <mergeCell ref="AG18:AH18"/>
    <mergeCell ref="AF17:AK17"/>
    <mergeCell ref="BA67:BB67"/>
    <mergeCell ref="AV46:AV47"/>
    <mergeCell ref="R24:X24"/>
    <mergeCell ref="B24:I24"/>
    <mergeCell ref="B32:C33"/>
    <mergeCell ref="E33:I33"/>
    <mergeCell ref="Z26:AC26"/>
    <mergeCell ref="Q39:S39"/>
    <mergeCell ref="O37:P37"/>
    <mergeCell ref="O38:P38"/>
    <mergeCell ref="O39:P39"/>
    <mergeCell ref="K39:M39"/>
    <mergeCell ref="F39:H39"/>
    <mergeCell ref="F40:H40"/>
    <mergeCell ref="I40:J40"/>
    <mergeCell ref="U40:V40"/>
    <mergeCell ref="W40:Z40"/>
    <mergeCell ref="AG25:AH25"/>
    <mergeCell ref="U33:Y33"/>
    <mergeCell ref="O40:P40"/>
    <mergeCell ref="K37:M37"/>
    <mergeCell ref="B39:E39"/>
    <mergeCell ref="B40:E40"/>
    <mergeCell ref="AV34:AV45"/>
    <mergeCell ref="U37:V37"/>
    <mergeCell ref="U38:V38"/>
    <mergeCell ref="U39:V39"/>
    <mergeCell ref="B38:E38"/>
    <mergeCell ref="K38:M38"/>
    <mergeCell ref="K40:M40"/>
    <mergeCell ref="I37:J37"/>
    <mergeCell ref="I38:J38"/>
    <mergeCell ref="I39:J39"/>
    <mergeCell ref="F37:H37"/>
    <mergeCell ref="B34:C35"/>
    <mergeCell ref="BR16:BT16"/>
    <mergeCell ref="BP18:BP21"/>
    <mergeCell ref="BR18:BR21"/>
    <mergeCell ref="BP16:BQ17"/>
    <mergeCell ref="AV20:AW20"/>
    <mergeCell ref="AG28:AH28"/>
    <mergeCell ref="L24:N24"/>
    <mergeCell ref="J23:N23"/>
    <mergeCell ref="N32:O32"/>
    <mergeCell ref="BA28:BB28"/>
    <mergeCell ref="AP29:AQ29"/>
    <mergeCell ref="B31:AC31"/>
    <mergeCell ref="P23:S23"/>
    <mergeCell ref="T23:X23"/>
    <mergeCell ref="AG24:AH24"/>
    <mergeCell ref="P18:Y18"/>
    <mergeCell ref="AG20:AH20"/>
    <mergeCell ref="J22:N22"/>
    <mergeCell ref="P22:S22"/>
    <mergeCell ref="P20:X20"/>
    <mergeCell ref="AV19:AW19"/>
    <mergeCell ref="AA21:AB21"/>
    <mergeCell ref="P19:S19"/>
    <mergeCell ref="F19:I19"/>
    <mergeCell ref="AG42:AH42"/>
    <mergeCell ref="AG36:AH36"/>
    <mergeCell ref="AG39:AJ39"/>
    <mergeCell ref="W37:Z37"/>
    <mergeCell ref="AF47:AJ47"/>
    <mergeCell ref="AF48:AJ48"/>
    <mergeCell ref="W38:Z38"/>
    <mergeCell ref="W39:Z39"/>
    <mergeCell ref="AG43:AH43"/>
    <mergeCell ref="AG40:AH40"/>
    <mergeCell ref="AG41:AH41"/>
    <mergeCell ref="AF46:AJ46"/>
    <mergeCell ref="AG45:AH45"/>
    <mergeCell ref="AF44:AF45"/>
    <mergeCell ref="AE36:AE48"/>
    <mergeCell ref="AG38:AH38"/>
    <mergeCell ref="AG37:AH37"/>
    <mergeCell ref="F38:H38"/>
    <mergeCell ref="J41:P42"/>
    <mergeCell ref="Q37:S37"/>
    <mergeCell ref="Q38:S38"/>
    <mergeCell ref="B41:H42"/>
    <mergeCell ref="B37:E37"/>
    <mergeCell ref="Z18:AC18"/>
    <mergeCell ref="AE34:AE35"/>
    <mergeCell ref="AW18:AX18"/>
    <mergeCell ref="AA20:AB20"/>
    <mergeCell ref="B15:E15"/>
    <mergeCell ref="B18:E18"/>
    <mergeCell ref="J21:N21"/>
    <mergeCell ref="P26:Y26"/>
    <mergeCell ref="T25:X25"/>
    <mergeCell ref="AA22:AB22"/>
    <mergeCell ref="F21:I21"/>
    <mergeCell ref="F15:I15"/>
    <mergeCell ref="J15:N15"/>
    <mergeCell ref="F22:I22"/>
    <mergeCell ref="AK22:AK23"/>
    <mergeCell ref="T19:X19"/>
    <mergeCell ref="AG22:AH22"/>
    <mergeCell ref="AK19:AK20"/>
    <mergeCell ref="F17:I17"/>
    <mergeCell ref="J17:N17"/>
    <mergeCell ref="F20:N20"/>
    <mergeCell ref="J19:N19"/>
    <mergeCell ref="B20:E20"/>
    <mergeCell ref="B19:E19"/>
  </mergeCells>
  <phoneticPr fontId="5" type="noConversion"/>
  <conditionalFormatting sqref="B11">
    <cfRule type="expression" dxfId="29" priority="34">
      <formula>$AU$15</formula>
    </cfRule>
  </conditionalFormatting>
  <conditionalFormatting sqref="B31">
    <cfRule type="expression" dxfId="28" priority="61">
      <formula>$BI$17</formula>
    </cfRule>
  </conditionalFormatting>
  <conditionalFormatting sqref="B8:D8">
    <cfRule type="expression" dxfId="27" priority="25">
      <formula>$AN$7</formula>
    </cfRule>
  </conditionalFormatting>
  <conditionalFormatting sqref="B25:F25 L25:AC25 B26:Z26">
    <cfRule type="expression" dxfId="26" priority="29">
      <formula>$AU$18</formula>
    </cfRule>
  </conditionalFormatting>
  <conditionalFormatting sqref="B26:Z26">
    <cfRule type="expression" dxfId="25" priority="30">
      <formula>$AU$18</formula>
    </cfRule>
  </conditionalFormatting>
  <conditionalFormatting sqref="E6">
    <cfRule type="containsText" dxfId="24" priority="48" operator="containsText" text="렌터카 취급 불가 모델.">
      <formula>NOT(ISERROR(SEARCH("렌터카 취급 불가 모델.",E6)))</formula>
    </cfRule>
    <cfRule type="containsText" dxfId="23" priority="49" operator="containsText" text="렌터카 모델 여부 확인 바람">
      <formula>NOT(ISERROR(SEARCH("렌터카 모델 여부 확인 바람",E6)))</formula>
    </cfRule>
  </conditionalFormatting>
  <conditionalFormatting sqref="E8:I8">
    <cfRule type="expression" dxfId="22" priority="24">
      <formula>$AN$7</formula>
    </cfRule>
  </conditionalFormatting>
  <conditionalFormatting sqref="F14:I14">
    <cfRule type="expression" dxfId="21" priority="59">
      <formula>$BI$17</formula>
    </cfRule>
  </conditionalFormatting>
  <conditionalFormatting sqref="M2">
    <cfRule type="cellIs" dxfId="20" priority="47" operator="equal">
      <formula>"(할부형 상품)"</formula>
    </cfRule>
  </conditionalFormatting>
  <conditionalFormatting sqref="V6:W6">
    <cfRule type="expression" dxfId="19" priority="9">
      <formula>$AO$15</formula>
    </cfRule>
  </conditionalFormatting>
  <conditionalFormatting sqref="AF16">
    <cfRule type="expression" dxfId="18" priority="3">
      <formula>$AN$11</formula>
    </cfRule>
  </conditionalFormatting>
  <conditionalFormatting sqref="AG9:AH9">
    <cfRule type="expression" dxfId="17" priority="26">
      <formula>$AN$2</formula>
    </cfRule>
  </conditionalFormatting>
  <conditionalFormatting sqref="AG16:AH16">
    <cfRule type="expression" dxfId="16" priority="10">
      <formula>$AN$11</formula>
    </cfRule>
    <cfRule type="expression" dxfId="15" priority="46">
      <formula>$AM$17</formula>
    </cfRule>
  </conditionalFormatting>
  <conditionalFormatting sqref="AG24:AH38 AH23">
    <cfRule type="expression" dxfId="14" priority="4">
      <formula>$AM$35</formula>
    </cfRule>
  </conditionalFormatting>
  <conditionalFormatting sqref="AG10:AI10">
    <cfRule type="expression" dxfId="13" priority="33">
      <formula>$AN$2</formula>
    </cfRule>
  </conditionalFormatting>
  <conditionalFormatting sqref="AI24:AI38">
    <cfRule type="expression" dxfId="12" priority="6">
      <formula>$AM$36</formula>
    </cfRule>
  </conditionalFormatting>
  <conditionalFormatting sqref="AJ23:AJ38">
    <cfRule type="expression" dxfId="11" priority="5">
      <formula>$AM$37</formula>
    </cfRule>
  </conditionalFormatting>
  <dataValidations disablePrompts="1" count="1">
    <dataValidation type="list" allowBlank="1" showInputMessage="1" showErrorMessage="1" sqref="AF2:AJ2" xr:uid="{00000000-0002-0000-0100-000000000000}">
      <formula1>$AL$6:$AL$8</formula1>
    </dataValidation>
  </dataValidations>
  <hyperlinks>
    <hyperlink ref="P14" xr:uid="{00000000-0004-0000-0100-000000000000}"/>
  </hyperlinks>
  <printOptions horizontalCentered="1" verticalCentered="1"/>
  <pageMargins left="1.1023622047244095" right="0.70866141732283472" top="0.94488188976377963" bottom="0.74803149606299213" header="0.31496062992125984" footer="0.31496062992125984"/>
  <pageSetup paperSize="9" scale="54" orientation="portrait" r:id="rId1"/>
  <ignoredErrors>
    <ignoredError sqref="W6:Z6 AA3 AC3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33</xdr:col>
                    <xdr:colOff>361950</xdr:colOff>
                    <xdr:row>33</xdr:row>
                    <xdr:rowOff>9525</xdr:rowOff>
                  </from>
                  <to>
                    <xdr:col>33</xdr:col>
                    <xdr:colOff>600075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31</xdr:col>
                    <xdr:colOff>828675</xdr:colOff>
                    <xdr:row>21</xdr:row>
                    <xdr:rowOff>0</xdr:rowOff>
                  </from>
                  <to>
                    <xdr:col>31</xdr:col>
                    <xdr:colOff>847725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Drop Down 4">
              <controlPr defaultSize="0" autoLine="0" autoPict="0">
                <anchor moveWithCells="1">
                  <from>
                    <xdr:col>34</xdr:col>
                    <xdr:colOff>152400</xdr:colOff>
                    <xdr:row>3</xdr:row>
                    <xdr:rowOff>9525</xdr:rowOff>
                  </from>
                  <to>
                    <xdr:col>34</xdr:col>
                    <xdr:colOff>1162050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Line="0" autoPict="0">
                <anchor moveWithCells="1">
                  <from>
                    <xdr:col>34</xdr:col>
                    <xdr:colOff>19050</xdr:colOff>
                    <xdr:row>22</xdr:row>
                    <xdr:rowOff>9525</xdr:rowOff>
                  </from>
                  <to>
                    <xdr:col>34</xdr:col>
                    <xdr:colOff>571500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Drop Down 6">
              <controlPr defaultSize="0" autoLine="0" autoPict="0">
                <anchor moveWithCells="1">
                  <from>
                    <xdr:col>32</xdr:col>
                    <xdr:colOff>0</xdr:colOff>
                    <xdr:row>14</xdr:row>
                    <xdr:rowOff>9525</xdr:rowOff>
                  </from>
                  <to>
                    <xdr:col>34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Drop Down 7">
              <controlPr defaultSize="0" autoLine="0" autoPict="0">
                <anchor moveWithCells="1">
                  <from>
                    <xdr:col>35</xdr:col>
                    <xdr:colOff>0</xdr:colOff>
                    <xdr:row>11</xdr:row>
                    <xdr:rowOff>0</xdr:rowOff>
                  </from>
                  <to>
                    <xdr:col>36</xdr:col>
                    <xdr:colOff>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Drop Down 8">
              <controlPr defaultSize="0" autoLine="0" autoPict="0">
                <anchor moveWithCells="1">
                  <from>
                    <xdr:col>31</xdr:col>
                    <xdr:colOff>9525</xdr:colOff>
                    <xdr:row>5</xdr:row>
                    <xdr:rowOff>9525</xdr:rowOff>
                  </from>
                  <to>
                    <xdr:col>32</xdr:col>
                    <xdr:colOff>19050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Drop Down 9">
              <controlPr defaultSize="0" autoLine="0" autoPict="0" altText="">
                <anchor moveWithCells="1">
                  <from>
                    <xdr:col>33</xdr:col>
                    <xdr:colOff>323850</xdr:colOff>
                    <xdr:row>5</xdr:row>
                    <xdr:rowOff>0</xdr:rowOff>
                  </from>
                  <to>
                    <xdr:col>37</xdr:col>
                    <xdr:colOff>0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Drop Down 10">
              <controlPr defaultSize="0" autoLine="0" autoPict="0">
                <anchor moveWithCells="1">
                  <from>
                    <xdr:col>32</xdr:col>
                    <xdr:colOff>9525</xdr:colOff>
                    <xdr:row>5</xdr:row>
                    <xdr:rowOff>0</xdr:rowOff>
                  </from>
                  <to>
                    <xdr:col>33</xdr:col>
                    <xdr:colOff>333375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Drop Down 11">
              <controlPr defaultSize="0" autoLine="0" autoPict="0">
                <anchor moveWithCells="1">
                  <from>
                    <xdr:col>32</xdr:col>
                    <xdr:colOff>542925</xdr:colOff>
                    <xdr:row>22</xdr:row>
                    <xdr:rowOff>9525</xdr:rowOff>
                  </from>
                  <to>
                    <xdr:col>34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Drop Down 12">
              <controlPr defaultSize="0" autoLine="0" autoPict="0">
                <anchor moveWithCells="1">
                  <from>
                    <xdr:col>34</xdr:col>
                    <xdr:colOff>561975</xdr:colOff>
                    <xdr:row>22</xdr:row>
                    <xdr:rowOff>9525</xdr:rowOff>
                  </from>
                  <to>
                    <xdr:col>35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Drop Down 13">
              <controlPr defaultSize="0" autoLine="0" autoPict="0">
                <anchor moveWithCells="1">
                  <from>
                    <xdr:col>32</xdr:col>
                    <xdr:colOff>9525</xdr:colOff>
                    <xdr:row>21</xdr:row>
                    <xdr:rowOff>9525</xdr:rowOff>
                  </from>
                  <to>
                    <xdr:col>33</xdr:col>
                    <xdr:colOff>590550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Drop Down 14">
              <controlPr defaultSize="0" autoLine="0" autoPict="0">
                <anchor moveWithCells="1">
                  <from>
                    <xdr:col>34</xdr:col>
                    <xdr:colOff>9525</xdr:colOff>
                    <xdr:row>21</xdr:row>
                    <xdr:rowOff>9525</xdr:rowOff>
                  </from>
                  <to>
                    <xdr:col>35</xdr:col>
                    <xdr:colOff>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Spinner 15">
              <controlPr defaultSize="0" autoPict="0">
                <anchor moveWithCells="1" sizeWithCells="1">
                  <from>
                    <xdr:col>34</xdr:col>
                    <xdr:colOff>933450</xdr:colOff>
                    <xdr:row>33</xdr:row>
                    <xdr:rowOff>9525</xdr:rowOff>
                  </from>
                  <to>
                    <xdr:col>34</xdr:col>
                    <xdr:colOff>1171575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34</xdr:col>
                    <xdr:colOff>781050</xdr:colOff>
                    <xdr:row>21</xdr:row>
                    <xdr:rowOff>0</xdr:rowOff>
                  </from>
                  <to>
                    <xdr:col>34</xdr:col>
                    <xdr:colOff>800100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Drop Down 17">
              <controlPr defaultSize="0" autoLine="0" autoPict="0">
                <anchor moveWithCells="1">
                  <from>
                    <xdr:col>32</xdr:col>
                    <xdr:colOff>9525</xdr:colOff>
                    <xdr:row>17</xdr:row>
                    <xdr:rowOff>9525</xdr:rowOff>
                  </from>
                  <to>
                    <xdr:col>33</xdr:col>
                    <xdr:colOff>590550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Drop Down 18">
              <controlPr defaultSize="0" autoLine="0" autoPict="0">
                <anchor moveWithCells="1">
                  <from>
                    <xdr:col>35</xdr:col>
                    <xdr:colOff>9525</xdr:colOff>
                    <xdr:row>17</xdr:row>
                    <xdr:rowOff>9525</xdr:rowOff>
                  </from>
                  <to>
                    <xdr:col>36</xdr:col>
                    <xdr:colOff>19050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Drop Down 19">
              <controlPr defaultSize="0" autoLine="0" autoPict="0">
                <anchor moveWithCells="1">
                  <from>
                    <xdr:col>32</xdr:col>
                    <xdr:colOff>9525</xdr:colOff>
                    <xdr:row>18</xdr:row>
                    <xdr:rowOff>9525</xdr:rowOff>
                  </from>
                  <to>
                    <xdr:col>34</xdr:col>
                    <xdr:colOff>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Drop Down 20">
              <controlPr defaultSize="0" autoLine="0" autoPict="0">
                <anchor moveWithCells="1">
                  <from>
                    <xdr:col>32</xdr:col>
                    <xdr:colOff>9525</xdr:colOff>
                    <xdr:row>19</xdr:row>
                    <xdr:rowOff>9525</xdr:rowOff>
                  </from>
                  <to>
                    <xdr:col>33</xdr:col>
                    <xdr:colOff>590550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Drop Down 21">
              <controlPr defaultSize="0" autoLine="0" autoPict="0">
                <anchor moveWithCells="1">
                  <from>
                    <xdr:col>35</xdr:col>
                    <xdr:colOff>9525</xdr:colOff>
                    <xdr:row>18</xdr:row>
                    <xdr:rowOff>9525</xdr:rowOff>
                  </from>
                  <to>
                    <xdr:col>36</xdr:col>
                    <xdr:colOff>19050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Drop Down 22">
              <controlPr defaultSize="0" autoLine="0" autoPict="0">
                <anchor moveWithCells="1">
                  <from>
                    <xdr:col>35</xdr:col>
                    <xdr:colOff>9525</xdr:colOff>
                    <xdr:row>19</xdr:row>
                    <xdr:rowOff>9525</xdr:rowOff>
                  </from>
                  <to>
                    <xdr:col>36</xdr:col>
                    <xdr:colOff>19050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32</xdr:col>
                    <xdr:colOff>9525</xdr:colOff>
                    <xdr:row>24</xdr:row>
                    <xdr:rowOff>247650</xdr:rowOff>
                  </from>
                  <to>
                    <xdr:col>32</xdr:col>
                    <xdr:colOff>171450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31</xdr:col>
                    <xdr:colOff>819150</xdr:colOff>
                    <xdr:row>26</xdr:row>
                    <xdr:rowOff>66675</xdr:rowOff>
                  </from>
                  <to>
                    <xdr:col>31</xdr:col>
                    <xdr:colOff>847725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locked="0" defaultSize="0" autoFill="0" autoLine="0" autoPict="0">
                <anchor moveWithCells="1">
                  <from>
                    <xdr:col>35</xdr:col>
                    <xdr:colOff>9525</xdr:colOff>
                    <xdr:row>7</xdr:row>
                    <xdr:rowOff>9525</xdr:rowOff>
                  </from>
                  <to>
                    <xdr:col>35</xdr:col>
                    <xdr:colOff>238125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Drop Down 26">
              <controlPr defaultSize="0" autoLine="0" autoPict="0">
                <anchor moveWithCells="1">
                  <from>
                    <xdr:col>35</xdr:col>
                    <xdr:colOff>0</xdr:colOff>
                    <xdr:row>15</xdr:row>
                    <xdr:rowOff>9525</xdr:rowOff>
                  </from>
                  <to>
                    <xdr:col>36</xdr:col>
                    <xdr:colOff>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9" name="Drop Down 28">
              <controlPr defaultSize="0" autoLine="0" autoPict="0">
                <anchor moveWithCells="1">
                  <from>
                    <xdr:col>31</xdr:col>
                    <xdr:colOff>9525</xdr:colOff>
                    <xdr:row>3</xdr:row>
                    <xdr:rowOff>266700</xdr:rowOff>
                  </from>
                  <to>
                    <xdr:col>34</xdr:col>
                    <xdr:colOff>19050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0" name="Drop Down 29">
              <controlPr locked="0" defaultSize="0" autoLine="0" autoPict="0">
                <anchor moveWithCells="1">
                  <from>
                    <xdr:col>31</xdr:col>
                    <xdr:colOff>0</xdr:colOff>
                    <xdr:row>3</xdr:row>
                    <xdr:rowOff>9525</xdr:rowOff>
                  </from>
                  <to>
                    <xdr:col>32</xdr:col>
                    <xdr:colOff>47625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1" name="Check Box 30">
              <controlPr defaultSize="0" autoFill="0" autoLine="0" autoPict="0">
                <anchor moveWithCells="1">
                  <from>
                    <xdr:col>32</xdr:col>
                    <xdr:colOff>9525</xdr:colOff>
                    <xdr:row>25</xdr:row>
                    <xdr:rowOff>238125</xdr:rowOff>
                  </from>
                  <to>
                    <xdr:col>32</xdr:col>
                    <xdr:colOff>238125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2" name="Check Box 31">
              <controlPr defaultSize="0" autoFill="0" autoLine="0" autoPict="0">
                <anchor moveWithCells="1">
                  <from>
                    <xdr:col>31</xdr:col>
                    <xdr:colOff>733425</xdr:colOff>
                    <xdr:row>32</xdr:row>
                    <xdr:rowOff>247650</xdr:rowOff>
                  </from>
                  <to>
                    <xdr:col>31</xdr:col>
                    <xdr:colOff>1019175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3" name="Check Box 33">
              <controlPr defaultSize="0" autoFill="0" autoLine="0" autoPict="0">
                <anchor moveWithCells="1">
                  <from>
                    <xdr:col>35</xdr:col>
                    <xdr:colOff>9525</xdr:colOff>
                    <xdr:row>9</xdr:row>
                    <xdr:rowOff>19050</xdr:rowOff>
                  </from>
                  <to>
                    <xdr:col>35</xdr:col>
                    <xdr:colOff>257175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4" name="Check Box 34">
              <controlPr defaultSize="0" autoFill="0" autoLine="0" autoPict="0">
                <anchor moveWithCells="1">
                  <from>
                    <xdr:col>34</xdr:col>
                    <xdr:colOff>0</xdr:colOff>
                    <xdr:row>22</xdr:row>
                    <xdr:rowOff>219075</xdr:rowOff>
                  </from>
                  <to>
                    <xdr:col>34</xdr:col>
                    <xdr:colOff>533400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5" name="Drop Down 36">
              <controlPr defaultSize="0" autoLine="0" autoPict="0">
                <anchor moveWithCells="1">
                  <from>
                    <xdr:col>32</xdr:col>
                    <xdr:colOff>9525</xdr:colOff>
                    <xdr:row>19</xdr:row>
                    <xdr:rowOff>314325</xdr:rowOff>
                  </from>
                  <to>
                    <xdr:col>33</xdr:col>
                    <xdr:colOff>590550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6" name="Drop Down 37">
              <controlPr defaultSize="0" autoLine="0" autoPict="0">
                <anchor moveWithCells="1">
                  <from>
                    <xdr:col>34</xdr:col>
                    <xdr:colOff>0</xdr:colOff>
                    <xdr:row>20</xdr:row>
                    <xdr:rowOff>0</xdr:rowOff>
                  </from>
                  <to>
                    <xdr:col>35</xdr:col>
                    <xdr:colOff>0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7" name="Drop Down 38">
              <controlPr defaultSize="0" autoLine="0" autoPict="0">
                <anchor moveWithCells="1">
                  <from>
                    <xdr:col>32</xdr:col>
                    <xdr:colOff>57150</xdr:colOff>
                    <xdr:row>3</xdr:row>
                    <xdr:rowOff>9525</xdr:rowOff>
                  </from>
                  <to>
                    <xdr:col>34</xdr:col>
                    <xdr:colOff>142875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8" name="Drop Down 39">
              <controlPr defaultSize="0" autoLine="0" autoPict="0">
                <anchor moveWithCells="1">
                  <from>
                    <xdr:col>35</xdr:col>
                    <xdr:colOff>9525</xdr:colOff>
                    <xdr:row>19</xdr:row>
                    <xdr:rowOff>304800</xdr:rowOff>
                  </from>
                  <to>
                    <xdr:col>36</xdr:col>
                    <xdr:colOff>19050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9" name="Drop Down 40">
              <controlPr defaultSize="0" autoLine="0" autoPict="0">
                <anchor moveWithCells="1">
                  <from>
                    <xdr:col>35</xdr:col>
                    <xdr:colOff>9525</xdr:colOff>
                    <xdr:row>13</xdr:row>
                    <xdr:rowOff>9525</xdr:rowOff>
                  </from>
                  <to>
                    <xdr:col>36</xdr:col>
                    <xdr:colOff>19050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Check Box 44">
              <controlPr defaultSize="0" autoFill="0" autoLine="0" autoPict="0">
                <anchor moveWithCells="1">
                  <from>
                    <xdr:col>32</xdr:col>
                    <xdr:colOff>9525</xdr:colOff>
                    <xdr:row>8</xdr:row>
                    <xdr:rowOff>0</xdr:rowOff>
                  </from>
                  <to>
                    <xdr:col>32</xdr:col>
                    <xdr:colOff>228600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Check Box 45">
              <controlPr defaultSize="0" autoFill="0" autoLine="0" autoPict="0">
                <anchor moveWithCells="1">
                  <from>
                    <xdr:col>32</xdr:col>
                    <xdr:colOff>19050</xdr:colOff>
                    <xdr:row>42</xdr:row>
                    <xdr:rowOff>266700</xdr:rowOff>
                  </from>
                  <to>
                    <xdr:col>32</xdr:col>
                    <xdr:colOff>276225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2" name="Check Box 46">
              <controlPr defaultSize="0" autoFill="0" autoLine="0" autoPict="0">
                <anchor moveWithCells="1">
                  <from>
                    <xdr:col>35</xdr:col>
                    <xdr:colOff>1333500</xdr:colOff>
                    <xdr:row>10</xdr:row>
                    <xdr:rowOff>28575</xdr:rowOff>
                  </from>
                  <to>
                    <xdr:col>36</xdr:col>
                    <xdr:colOff>238125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3" name="Drop Down 49">
              <controlPr defaultSize="0" autoLine="0" autoPict="0">
                <anchor moveWithCells="1">
                  <from>
                    <xdr:col>35</xdr:col>
                    <xdr:colOff>0</xdr:colOff>
                    <xdr:row>22</xdr:row>
                    <xdr:rowOff>9525</xdr:rowOff>
                  </from>
                  <to>
                    <xdr:col>35</xdr:col>
                    <xdr:colOff>533400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4" name="Drop Down 50">
              <controlPr defaultSize="0" autoLine="0" autoPict="0">
                <anchor moveWithCells="1">
                  <from>
                    <xdr:col>35</xdr:col>
                    <xdr:colOff>523875</xdr:colOff>
                    <xdr:row>22</xdr:row>
                    <xdr:rowOff>9525</xdr:rowOff>
                  </from>
                  <to>
                    <xdr:col>35</xdr:col>
                    <xdr:colOff>1314450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5" name="Drop Down 51">
              <controlPr defaultSize="0" autoLine="0" autoPict="0">
                <anchor moveWithCells="1">
                  <from>
                    <xdr:col>35</xdr:col>
                    <xdr:colOff>0</xdr:colOff>
                    <xdr:row>21</xdr:row>
                    <xdr:rowOff>9525</xdr:rowOff>
                  </from>
                  <to>
                    <xdr:col>36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46" name="Check Box 53">
              <controlPr defaultSize="0" autoFill="0" autoLine="0" autoPict="0">
                <anchor moveWithCells="1">
                  <from>
                    <xdr:col>37</xdr:col>
                    <xdr:colOff>0</xdr:colOff>
                    <xdr:row>19</xdr:row>
                    <xdr:rowOff>95250</xdr:rowOff>
                  </from>
                  <to>
                    <xdr:col>37</xdr:col>
                    <xdr:colOff>19050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47" name="Check Box 57">
              <controlPr defaultSize="0" autoFill="0" autoLine="0" autoPict="0">
                <anchor moveWithCells="1">
                  <from>
                    <xdr:col>35</xdr:col>
                    <xdr:colOff>0</xdr:colOff>
                    <xdr:row>23</xdr:row>
                    <xdr:rowOff>9525</xdr:rowOff>
                  </from>
                  <to>
                    <xdr:col>35</xdr:col>
                    <xdr:colOff>295275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48" name="Drop Down 61">
              <controlPr defaultSize="0" autoLine="0" autoPict="0">
                <anchor moveWithCells="1">
                  <from>
                    <xdr:col>32</xdr:col>
                    <xdr:colOff>9525</xdr:colOff>
                    <xdr:row>12</xdr:row>
                    <xdr:rowOff>9525</xdr:rowOff>
                  </from>
                  <to>
                    <xdr:col>36</xdr:col>
                    <xdr:colOff>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49" name="Spinner 62">
              <controlPr defaultSize="0" autoPict="0">
                <anchor moveWithCells="1" sizeWithCells="1">
                  <from>
                    <xdr:col>35</xdr:col>
                    <xdr:colOff>885825</xdr:colOff>
                    <xdr:row>33</xdr:row>
                    <xdr:rowOff>9525</xdr:rowOff>
                  </from>
                  <to>
                    <xdr:col>36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50" name="Check Box 63">
              <controlPr defaultSize="0" autoFill="0" autoLine="0" autoPict="0">
                <anchor moveWithCells="1">
                  <from>
                    <xdr:col>32</xdr:col>
                    <xdr:colOff>828675</xdr:colOff>
                    <xdr:row>21</xdr:row>
                    <xdr:rowOff>0</xdr:rowOff>
                  </from>
                  <to>
                    <xdr:col>33</xdr:col>
                    <xdr:colOff>19050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51" name="Check Box 64">
              <controlPr defaultSize="0" autoFill="0" autoLine="0" autoPict="0">
                <anchor moveWithCells="1">
                  <from>
                    <xdr:col>32</xdr:col>
                    <xdr:colOff>19050</xdr:colOff>
                    <xdr:row>41</xdr:row>
                    <xdr:rowOff>295275</xdr:rowOff>
                  </from>
                  <to>
                    <xdr:col>32</xdr:col>
                    <xdr:colOff>276225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52" name="Check Box 66">
              <controlPr defaultSize="0" autoFill="0" autoLine="0" autoPict="0">
                <anchor moveWithCells="1">
                  <from>
                    <xdr:col>8</xdr:col>
                    <xdr:colOff>123825</xdr:colOff>
                    <xdr:row>17</xdr:row>
                    <xdr:rowOff>276225</xdr:rowOff>
                  </from>
                  <to>
                    <xdr:col>9</xdr:col>
                    <xdr:colOff>38100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53" name="Check Box 67">
              <controlPr defaultSize="0" autoFill="0" autoLine="0" autoPict="0">
                <anchor moveWithCells="1">
                  <from>
                    <xdr:col>32</xdr:col>
                    <xdr:colOff>9525</xdr:colOff>
                    <xdr:row>9</xdr:row>
                    <xdr:rowOff>19050</xdr:rowOff>
                  </from>
                  <to>
                    <xdr:col>32</xdr:col>
                    <xdr:colOff>257175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4" name="Check Box 68">
              <controlPr defaultSize="0" autoFill="0" autoLine="0" autoPict="0">
                <anchor moveWithCells="1">
                  <from>
                    <xdr:col>13</xdr:col>
                    <xdr:colOff>38100</xdr:colOff>
                    <xdr:row>7</xdr:row>
                    <xdr:rowOff>0</xdr:rowOff>
                  </from>
                  <to>
                    <xdr:col>13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55" name="Drop Down 70">
              <controlPr defaultSize="0" autoLine="0" autoPict="0">
                <anchor moveWithCells="1">
                  <from>
                    <xdr:col>31</xdr:col>
                    <xdr:colOff>0</xdr:colOff>
                    <xdr:row>0</xdr:row>
                    <xdr:rowOff>9525</xdr:rowOff>
                  </from>
                  <to>
                    <xdr:col>35</xdr:col>
                    <xdr:colOff>1057275</xdr:colOff>
                    <xdr:row>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56" name="Drop Down 86">
              <controlPr defaultSize="0" autoLine="0" autoPict="0">
                <anchor moveWithCells="1">
                  <from>
                    <xdr:col>34</xdr:col>
                    <xdr:colOff>1171575</xdr:colOff>
                    <xdr:row>3</xdr:row>
                    <xdr:rowOff>0</xdr:rowOff>
                  </from>
                  <to>
                    <xdr:col>36</xdr:col>
                    <xdr:colOff>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57" name="Drop Down 87">
              <controlPr defaultSize="0" autoLine="0" autoPict="0">
                <anchor moveWithCells="1">
                  <from>
                    <xdr:col>36</xdr:col>
                    <xdr:colOff>9525</xdr:colOff>
                    <xdr:row>19</xdr:row>
                    <xdr:rowOff>304800</xdr:rowOff>
                  </from>
                  <to>
                    <xdr:col>37</xdr:col>
                    <xdr:colOff>19050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AU87"/>
  <sheetViews>
    <sheetView showGridLines="0" view="pageBreakPreview" zoomScale="70" zoomScaleNormal="85" zoomScaleSheetLayoutView="70" workbookViewId="0">
      <selection activeCell="CH34" sqref="CH34"/>
    </sheetView>
  </sheetViews>
  <sheetFormatPr defaultColWidth="9.140625" defaultRowHeight="0" customHeight="1" zeroHeight="1"/>
  <cols>
    <col min="1" max="1" width="5.7109375" style="287" customWidth="1"/>
    <col min="2" max="2" width="5" style="807" customWidth="1"/>
    <col min="3" max="3" width="2.42578125" style="807" customWidth="1"/>
    <col min="4" max="4" width="5.140625" style="807" customWidth="1"/>
    <col min="5" max="5" width="3.42578125" style="807" customWidth="1"/>
    <col min="6" max="6" width="3.28515625" style="807" customWidth="1"/>
    <col min="7" max="7" width="5.140625" style="807" customWidth="1"/>
    <col min="8" max="8" width="5.5703125" style="807" customWidth="1"/>
    <col min="9" max="9" width="1.85546875" style="807" customWidth="1"/>
    <col min="10" max="10" width="4.140625" style="807" customWidth="1"/>
    <col min="11" max="11" width="2" style="807" customWidth="1"/>
    <col min="12" max="12" width="7.28515625" style="807" customWidth="1"/>
    <col min="13" max="13" width="9.140625" style="807" customWidth="1"/>
    <col min="14" max="14" width="0.140625" style="807" customWidth="1"/>
    <col min="15" max="15" width="8" style="807" customWidth="1"/>
    <col min="16" max="16" width="1.42578125" style="807" customWidth="1"/>
    <col min="17" max="17" width="7.140625" style="807" customWidth="1"/>
    <col min="18" max="18" width="3.85546875" style="807" customWidth="1"/>
    <col min="19" max="19" width="5.140625" style="807" customWidth="1"/>
    <col min="20" max="20" width="5.5703125" style="807" customWidth="1"/>
    <col min="21" max="21" width="4.5703125" style="807" customWidth="1"/>
    <col min="22" max="22" width="1.7109375" style="807" customWidth="1"/>
    <col min="23" max="23" width="0.85546875" style="807" hidden="1" customWidth="1"/>
    <col min="24" max="24" width="3.85546875" style="807" customWidth="1"/>
    <col min="25" max="25" width="9.28515625" style="807" customWidth="1"/>
    <col min="26" max="26" width="10.28515625" style="807" customWidth="1"/>
    <col min="27" max="27" width="10.85546875" style="63" hidden="1" customWidth="1"/>
    <col min="28" max="28" width="13.85546875" style="63" hidden="1" customWidth="1"/>
    <col min="29" max="32" width="10.85546875" style="63" hidden="1" customWidth="1"/>
    <col min="33" max="34" width="10.85546875" style="63" customWidth="1"/>
    <col min="35" max="38" width="9.140625" style="63" customWidth="1"/>
    <col min="39" max="46" width="9.140625" style="63"/>
    <col min="47" max="47" width="0" style="63" hidden="1" customWidth="1"/>
    <col min="48" max="16384" width="9.140625" style="63"/>
  </cols>
  <sheetData>
    <row r="1" spans="1:47" ht="18" customHeight="1">
      <c r="A1" s="285"/>
      <c r="B1" s="1783" t="s">
        <v>922</v>
      </c>
      <c r="C1" s="1783"/>
      <c r="D1" s="1783"/>
      <c r="E1" s="1783"/>
      <c r="F1" s="1783"/>
      <c r="G1" s="1783"/>
      <c r="H1" s="1783"/>
      <c r="I1" s="1783"/>
      <c r="J1" s="1783"/>
      <c r="K1" s="1783"/>
      <c r="L1" s="1783"/>
      <c r="M1" s="1783"/>
      <c r="N1" s="1783"/>
      <c r="O1" s="1783"/>
      <c r="P1" s="1783"/>
      <c r="Q1" s="1783"/>
      <c r="R1" s="1783"/>
      <c r="S1" s="1783"/>
      <c r="T1" s="1783"/>
      <c r="U1" s="1783"/>
      <c r="V1" s="1783"/>
      <c r="W1" s="1783"/>
      <c r="X1" s="1783"/>
      <c r="Y1" s="1783"/>
      <c r="Z1" s="801"/>
      <c r="AA1" s="802" t="b">
        <v>0</v>
      </c>
      <c r="AB1" s="803"/>
      <c r="AC1" s="286"/>
      <c r="AD1" s="286"/>
      <c r="AE1" s="286"/>
      <c r="AF1" s="286"/>
      <c r="AG1" s="286"/>
      <c r="AH1" s="286"/>
    </row>
    <row r="2" spans="1:47" ht="14.25" customHeight="1">
      <c r="A2" s="285"/>
      <c r="B2" s="804"/>
      <c r="C2" s="805"/>
      <c r="D2" s="806"/>
      <c r="E2" s="1784" t="str">
        <f ca="1">IF(AA1=TRUE,NOW(),"")</f>
        <v/>
      </c>
      <c r="F2" s="1784"/>
      <c r="G2" s="1784"/>
      <c r="H2" s="1784"/>
      <c r="I2" s="1784"/>
      <c r="J2" s="1785" t="s">
        <v>578</v>
      </c>
      <c r="K2" s="1785"/>
      <c r="L2" s="1785"/>
      <c r="M2" s="1785"/>
      <c r="N2" s="1785"/>
      <c r="O2" s="1785"/>
      <c r="P2" s="1785"/>
      <c r="Q2" s="1785"/>
      <c r="R2" s="1785"/>
      <c r="S2" s="1785"/>
      <c r="T2" s="801"/>
      <c r="V2" s="801"/>
      <c r="W2" s="808"/>
      <c r="X2" s="1786" t="str">
        <f>+렌터카견적내기!Y2</f>
        <v>20250115_V2</v>
      </c>
      <c r="Y2" s="1786"/>
      <c r="Z2" s="801"/>
      <c r="AA2" s="803"/>
      <c r="AB2" s="803"/>
      <c r="AC2" s="286"/>
      <c r="AD2" s="286"/>
      <c r="AE2" s="286"/>
      <c r="AF2" s="286"/>
      <c r="AG2" s="286"/>
      <c r="AH2" s="286"/>
    </row>
    <row r="3" spans="1:47" ht="6.75" customHeight="1">
      <c r="A3" s="285"/>
      <c r="B3" s="804"/>
      <c r="C3" s="805"/>
      <c r="D3" s="806"/>
      <c r="E3" s="809"/>
      <c r="F3" s="809"/>
      <c r="G3" s="809"/>
      <c r="H3" s="810"/>
      <c r="I3" s="810"/>
      <c r="J3" s="810"/>
      <c r="K3" s="810"/>
      <c r="L3" s="810"/>
      <c r="M3" s="810"/>
      <c r="N3" s="810"/>
      <c r="O3" s="810"/>
      <c r="P3" s="810"/>
      <c r="Q3" s="810"/>
      <c r="R3" s="810"/>
      <c r="S3" s="810"/>
      <c r="T3" s="810"/>
      <c r="V3" s="801"/>
      <c r="W3" s="811"/>
      <c r="X3" s="1787"/>
      <c r="Y3" s="1787"/>
      <c r="Z3" s="801"/>
      <c r="AA3" s="803"/>
      <c r="AB3" s="803"/>
      <c r="AC3" s="286"/>
      <c r="AD3" s="286"/>
      <c r="AE3" s="286"/>
      <c r="AF3" s="286"/>
      <c r="AG3" s="286"/>
      <c r="AH3" s="286"/>
    </row>
    <row r="4" spans="1:47" ht="15.75" customHeight="1">
      <c r="A4" s="285"/>
      <c r="C4" s="801"/>
      <c r="D4" s="801"/>
      <c r="E4" s="801"/>
      <c r="F4" s="801"/>
      <c r="G4" s="801"/>
      <c r="H4" s="801"/>
      <c r="I4" s="801"/>
      <c r="J4" s="801"/>
      <c r="K4" s="801"/>
      <c r="L4" s="801"/>
      <c r="M4" s="801"/>
      <c r="N4" s="1788" t="str">
        <f>+렌터카견적내기!V3</f>
        <v>(고객명)고객님 귀하</v>
      </c>
      <c r="O4" s="1788"/>
      <c r="P4" s="1788"/>
      <c r="Q4" s="1788"/>
      <c r="R4" s="1788"/>
      <c r="S4" s="1789"/>
      <c r="T4" s="1790" t="s">
        <v>136</v>
      </c>
      <c r="U4" s="1791"/>
      <c r="V4" s="1792" t="str">
        <f>렌터카견적내기!AJ5&amp;""</f>
        <v>(담당자명)</v>
      </c>
      <c r="W4" s="1793"/>
      <c r="X4" s="1793"/>
      <c r="Y4" s="1793"/>
      <c r="Z4" s="801"/>
      <c r="AA4" s="803"/>
      <c r="AB4" s="1773">
        <f>렌터카견적내기!G12</f>
        <v>0</v>
      </c>
      <c r="AC4" s="286"/>
      <c r="AD4" s="286"/>
      <c r="AE4" s="286"/>
      <c r="AF4" s="286"/>
      <c r="AG4" s="286"/>
      <c r="AH4" s="286"/>
    </row>
    <row r="5" spans="1:47" ht="15.75" customHeight="1">
      <c r="A5" s="288"/>
      <c r="B5" s="812"/>
      <c r="C5" s="801"/>
      <c r="D5" s="801"/>
      <c r="E5" s="801"/>
      <c r="F5" s="801"/>
      <c r="G5" s="801"/>
      <c r="H5" s="801"/>
      <c r="I5" s="801"/>
      <c r="J5" s="801"/>
      <c r="K5" s="813" t="str">
        <f>IF(렌터카견적내기!BI12=2,"(할부형 상품)","")</f>
        <v/>
      </c>
      <c r="L5" s="801"/>
      <c r="M5" s="814"/>
      <c r="N5" s="1775" t="s">
        <v>579</v>
      </c>
      <c r="O5" s="1776"/>
      <c r="P5" s="1777">
        <f ca="1">TODAY()</f>
        <v>45673</v>
      </c>
      <c r="Q5" s="1778"/>
      <c r="R5" s="1778"/>
      <c r="S5" s="1779"/>
      <c r="T5" s="1780" t="s">
        <v>145</v>
      </c>
      <c r="U5" s="1781"/>
      <c r="V5" s="1777" t="str">
        <f>+렌터카견적내기!AB4</f>
        <v>20250115~20250131</v>
      </c>
      <c r="W5" s="1778"/>
      <c r="X5" s="1778"/>
      <c r="Y5" s="1778"/>
      <c r="Z5" s="801"/>
      <c r="AA5" s="803"/>
      <c r="AB5" s="1774"/>
      <c r="AC5" s="286"/>
      <c r="AD5" s="286"/>
      <c r="AF5" s="286"/>
      <c r="AG5" s="286"/>
      <c r="AH5" s="286"/>
    </row>
    <row r="6" spans="1:47" ht="18" customHeight="1">
      <c r="A6" s="288"/>
      <c r="B6" s="815"/>
      <c r="C6" s="816"/>
      <c r="D6" s="816"/>
      <c r="E6" s="816"/>
      <c r="F6" s="816"/>
      <c r="G6" s="816"/>
      <c r="H6" s="817"/>
      <c r="I6" s="818"/>
      <c r="J6" s="818"/>
      <c r="L6" s="818"/>
      <c r="M6" s="818"/>
      <c r="N6" s="818"/>
      <c r="O6" s="818"/>
      <c r="P6" s="818"/>
      <c r="Q6" s="818"/>
      <c r="R6" s="818"/>
      <c r="S6" s="818"/>
      <c r="T6" s="818"/>
      <c r="U6" s="818"/>
      <c r="V6" s="1782" t="str">
        <f>+렌터카견적내기!AB11</f>
        <v xml:space="preserve"> </v>
      </c>
      <c r="W6" s="1782"/>
      <c r="X6" s="1782"/>
      <c r="Y6" s="1782"/>
      <c r="Z6" s="801"/>
      <c r="AA6" s="819" t="s">
        <v>580</v>
      </c>
      <c r="AB6" s="820" t="e">
        <f>IF(AE6=1,렌터카견적내기!#REF!,렌터카견적내기!#REF!)</f>
        <v>#REF!</v>
      </c>
      <c r="AC6" s="286"/>
      <c r="AD6" s="289" t="s">
        <v>1171</v>
      </c>
      <c r="AE6" s="290" t="b">
        <v>0</v>
      </c>
      <c r="AF6" s="286"/>
      <c r="AG6" s="286"/>
      <c r="AH6" s="286"/>
    </row>
    <row r="7" spans="1:47" ht="18" customHeight="1">
      <c r="A7" s="285"/>
      <c r="B7" s="821" t="s">
        <v>581</v>
      </c>
      <c r="C7" s="822"/>
      <c r="D7" s="1795" t="str">
        <f ca="1">렌터카견적내기!E6</f>
        <v xml:space="preserve">아반떼 가솔린 1.6 </v>
      </c>
      <c r="E7" s="1795"/>
      <c r="F7" s="1795"/>
      <c r="G7" s="1795"/>
      <c r="H7" s="1795"/>
      <c r="I7" s="1795"/>
      <c r="J7" s="1795"/>
      <c r="K7" s="1795"/>
      <c r="L7" s="1795"/>
      <c r="M7" s="1795"/>
      <c r="N7" s="1795"/>
      <c r="O7" s="1795"/>
      <c r="P7" s="1795"/>
      <c r="Q7" s="1795"/>
      <c r="R7" s="1795"/>
      <c r="S7" s="1795"/>
      <c r="T7" s="1795"/>
      <c r="U7" s="1794">
        <f>+렌터카견적내기!V6</f>
        <v>0</v>
      </c>
      <c r="V7" s="1794"/>
      <c r="W7" s="1794"/>
      <c r="X7" s="1794"/>
      <c r="Y7" s="823" t="str">
        <f>+렌터카견적내기!X6</f>
        <v/>
      </c>
      <c r="Z7" s="824"/>
      <c r="AA7" s="819" t="s">
        <v>582</v>
      </c>
      <c r="AB7" s="825" t="str">
        <f ca="1">IF($AE$6=1,렌터카견적내기!AG34,렌터카견적내기!AI34)</f>
        <v>미선택</v>
      </c>
      <c r="AC7" s="286"/>
      <c r="AD7" s="289" t="s">
        <v>583</v>
      </c>
      <c r="AE7" s="290" t="b">
        <v>0</v>
      </c>
      <c r="AF7" s="286"/>
      <c r="AG7" s="286"/>
      <c r="AH7" s="286"/>
    </row>
    <row r="8" spans="1:47" ht="18" customHeight="1">
      <c r="A8" s="285"/>
      <c r="B8" s="826" t="s">
        <v>170</v>
      </c>
      <c r="C8" s="827"/>
      <c r="D8" s="1807">
        <f>+렌터카견적내기!E7</f>
        <v>0</v>
      </c>
      <c r="E8" s="1807"/>
      <c r="F8" s="1807"/>
      <c r="G8" s="1807"/>
      <c r="H8" s="1807"/>
      <c r="I8" s="1807"/>
      <c r="J8" s="1807"/>
      <c r="K8" s="1807"/>
      <c r="L8" s="1807"/>
      <c r="M8" s="1807"/>
      <c r="N8" s="1807"/>
      <c r="O8" s="1807"/>
      <c r="P8" s="1807"/>
      <c r="Q8" s="1807"/>
      <c r="R8" s="1807"/>
      <c r="S8" s="1807"/>
      <c r="T8" s="1807"/>
      <c r="U8" s="1807"/>
      <c r="V8" s="1807"/>
      <c r="W8" s="1807"/>
      <c r="X8" s="1807"/>
      <c r="Y8" s="1807"/>
      <c r="Z8" s="801"/>
      <c r="AA8" s="819" t="s">
        <v>584</v>
      </c>
      <c r="AB8" s="825" t="str">
        <f ca="1">IF($AE$6=1,렌터카견적내기!AG35,렌터카견적내기!AI35)</f>
        <v>미선택</v>
      </c>
      <c r="AC8" s="286"/>
      <c r="AD8" s="286"/>
      <c r="AE8" s="286"/>
      <c r="AF8" s="286"/>
      <c r="AG8" s="286"/>
      <c r="AH8" s="286"/>
      <c r="AU8" s="63" t="b">
        <v>0</v>
      </c>
    </row>
    <row r="9" spans="1:47" ht="18" customHeight="1">
      <c r="A9" s="285"/>
      <c r="B9" s="828" t="s">
        <v>202</v>
      </c>
      <c r="C9" s="829"/>
      <c r="D9" s="830"/>
      <c r="E9" s="1808">
        <f>+렌터카견적내기!E8</f>
        <v>0</v>
      </c>
      <c r="F9" s="1808"/>
      <c r="G9" s="1808"/>
      <c r="H9" s="1808"/>
      <c r="I9" s="1808"/>
      <c r="J9" s="831" t="s">
        <v>180</v>
      </c>
      <c r="K9" s="1809">
        <f>+렌터카견적내기!AB6</f>
        <v>0</v>
      </c>
      <c r="L9" s="1809"/>
      <c r="M9" s="1809"/>
      <c r="N9" s="832"/>
      <c r="O9" s="833" t="s">
        <v>208</v>
      </c>
      <c r="P9" s="834" t="str">
        <f ca="1">+렌터카견적내기!AB8</f>
        <v>1598cc/ 5인승</v>
      </c>
      <c r="Q9" s="832"/>
      <c r="R9" s="835"/>
      <c r="S9" s="1810" t="s">
        <v>585</v>
      </c>
      <c r="T9" s="1810"/>
      <c r="U9" s="1811" t="str">
        <f ca="1">+렌터카견적내기!N8</f>
        <v>보통휘발유</v>
      </c>
      <c r="V9" s="1811"/>
      <c r="W9" s="1811"/>
      <c r="X9" s="1811"/>
      <c r="Y9" s="1811"/>
      <c r="Z9" s="801"/>
      <c r="AA9" s="819" t="s">
        <v>586</v>
      </c>
      <c r="AB9" s="825" t="e">
        <f>렌터카견적내기!#REF!</f>
        <v>#REF!</v>
      </c>
      <c r="AC9" s="286"/>
      <c r="AD9" s="286"/>
      <c r="AE9" s="286"/>
      <c r="AF9" s="286"/>
      <c r="AG9" s="286"/>
      <c r="AH9" s="286"/>
    </row>
    <row r="10" spans="1:47" ht="18" customHeight="1">
      <c r="A10" s="285"/>
      <c r="B10" s="836" t="s">
        <v>921</v>
      </c>
      <c r="C10" s="837"/>
      <c r="D10" s="837"/>
      <c r="E10" s="837"/>
      <c r="F10" s="1812">
        <f>+렌터카견적내기!AB9</f>
        <v>43480000</v>
      </c>
      <c r="G10" s="1812"/>
      <c r="H10" s="1812"/>
      <c r="I10" s="1812"/>
      <c r="J10" s="838" t="s">
        <v>587</v>
      </c>
      <c r="K10" s="839"/>
      <c r="L10" s="1813">
        <f>+렌터카견적내기!N9</f>
        <v>0</v>
      </c>
      <c r="M10" s="1813"/>
      <c r="O10" s="840" t="s">
        <v>588</v>
      </c>
      <c r="P10" s="1796">
        <f>+렌터카견적내기!AC8</f>
        <v>0</v>
      </c>
      <c r="Q10" s="1796"/>
      <c r="R10" s="1814" t="s">
        <v>171</v>
      </c>
      <c r="S10" s="1814"/>
      <c r="T10" s="1814"/>
      <c r="U10" s="1768">
        <f>+렌터카견적내기!AB7</f>
        <v>43480000</v>
      </c>
      <c r="V10" s="1768"/>
      <c r="W10" s="1768"/>
      <c r="X10" s="1768"/>
      <c r="Y10" s="1768"/>
      <c r="Z10" s="801"/>
      <c r="AA10" s="819" t="s">
        <v>589</v>
      </c>
      <c r="AB10" s="825">
        <f>IF($AE$6=1,렌터카견적내기!AG29,렌터카견적내기!AI29)</f>
        <v>0.09</v>
      </c>
      <c r="AC10" s="286"/>
      <c r="AD10" s="286"/>
      <c r="AE10" s="286"/>
      <c r="AF10" s="286"/>
      <c r="AG10" s="286"/>
      <c r="AH10" s="286"/>
    </row>
    <row r="11" spans="1:47" ht="18" customHeight="1">
      <c r="A11" s="285"/>
      <c r="B11" s="841" t="str">
        <f>렌터카견적내기!B10</f>
        <v>추가용품</v>
      </c>
      <c r="C11" s="842"/>
      <c r="D11" s="843" t="str">
        <f>렌터카견적내기!E10</f>
        <v xml:space="preserve">      </v>
      </c>
      <c r="F11" s="844"/>
      <c r="G11" s="844"/>
      <c r="H11" s="844"/>
      <c r="I11" s="844"/>
      <c r="J11" s="844"/>
      <c r="K11" s="844"/>
      <c r="L11" s="844"/>
      <c r="M11" s="842"/>
      <c r="N11" s="842"/>
      <c r="O11" s="842"/>
      <c r="P11" s="844"/>
      <c r="Q11" s="844"/>
      <c r="R11" s="844"/>
      <c r="S11" s="844"/>
      <c r="T11" s="842"/>
      <c r="U11" s="1769">
        <f>+렌터카견적내기!R11</f>
        <v>0</v>
      </c>
      <c r="V11" s="1769"/>
      <c r="W11" s="1769"/>
      <c r="X11" s="1769"/>
      <c r="Y11" s="1769"/>
      <c r="Z11" s="801"/>
      <c r="AA11" s="819" t="s">
        <v>590</v>
      </c>
      <c r="AB11" s="825">
        <f>IF($AE$6=1,렌터카견적내기!AG30,렌터카견적내기!AI30)</f>
        <v>0.04</v>
      </c>
      <c r="AC11" s="286"/>
      <c r="AD11" s="286"/>
      <c r="AE11" s="286"/>
      <c r="AF11" s="286"/>
      <c r="AG11" s="286"/>
      <c r="AH11" s="286"/>
    </row>
    <row r="12" spans="1:47" ht="18" customHeight="1">
      <c r="A12" s="285"/>
      <c r="B12" s="801" t="s">
        <v>591</v>
      </c>
      <c r="C12" s="801"/>
      <c r="D12" s="801"/>
      <c r="E12" s="801"/>
      <c r="F12" s="845" t="str">
        <f ca="1">렌터카견적내기!F12&amp;렌터카견적내기!N12</f>
        <v/>
      </c>
      <c r="H12" s="801"/>
      <c r="I12" s="801"/>
      <c r="O12" s="801" t="s">
        <v>592</v>
      </c>
      <c r="P12" s="801"/>
      <c r="Q12" s="846"/>
      <c r="R12" s="801"/>
      <c r="S12" s="801"/>
      <c r="T12" s="801"/>
      <c r="U12" s="801"/>
      <c r="V12" s="801"/>
      <c r="W12" s="801"/>
      <c r="X12" s="801"/>
      <c r="Y12" s="846"/>
      <c r="Z12" s="847"/>
      <c r="AA12" s="819" t="s">
        <v>593</v>
      </c>
      <c r="AB12" s="825">
        <f>IF($AE$6=1,렌터카견적내기!AG32,렌터카견적내기!AI32)</f>
        <v>0</v>
      </c>
      <c r="AC12" s="286"/>
      <c r="AD12" s="286"/>
      <c r="AE12" s="286"/>
      <c r="AF12" s="286"/>
      <c r="AG12" s="286"/>
      <c r="AH12" s="286"/>
    </row>
    <row r="13" spans="1:47" ht="18" customHeight="1">
      <c r="A13" s="285"/>
      <c r="B13" s="848" t="s">
        <v>215</v>
      </c>
      <c r="C13" s="848"/>
      <c r="D13" s="849"/>
      <c r="E13" s="848"/>
      <c r="F13" s="1804">
        <f>IF(AE7=TRUE,렌터카견적내기!AB13,IF(AE6=FALSE,렌터카견적내기!J13,렌터카견적내기!T13))</f>
        <v>36</v>
      </c>
      <c r="G13" s="1804"/>
      <c r="H13" s="1804"/>
      <c r="I13" s="1804"/>
      <c r="J13" s="1804"/>
      <c r="K13" s="1804"/>
      <c r="L13" s="850" t="s">
        <v>216</v>
      </c>
      <c r="M13" s="801"/>
      <c r="N13" s="801"/>
      <c r="O13" s="851" t="s">
        <v>229</v>
      </c>
      <c r="P13" s="852"/>
      <c r="Q13" s="1805">
        <f>IF(AE7=TRUE,렌터카견적내기!AA16,IF(AE6=FALSE,렌터카견적내기!F16,렌터카견적내기!P16))</f>
        <v>0</v>
      </c>
      <c r="R13" s="1805"/>
      <c r="S13" s="1806">
        <f>IF(AE7=TRUE,렌터카견적내기!AB16,IF(AE6=FALSE,렌터카견적내기!J16,렌터카견적내기!T16))</f>
        <v>0</v>
      </c>
      <c r="T13" s="1806"/>
      <c r="U13" s="1806" t="e">
        <f>IF(AE1=1,#REF!,#REF!)</f>
        <v>#REF!</v>
      </c>
      <c r="V13" s="1806"/>
      <c r="W13" s="1806" t="e">
        <f>IF(AG1=1,#REF!,#REF!)</f>
        <v>#REF!</v>
      </c>
      <c r="X13" s="1806"/>
      <c r="Y13" s="853" t="s">
        <v>221</v>
      </c>
      <c r="Z13" s="847"/>
      <c r="AA13" s="819" t="s">
        <v>594</v>
      </c>
      <c r="AB13" s="820" t="e">
        <f ca="1">IF($AE$6=1,렌터카견적내기!AG37,렌터카견적내기!AI37)</f>
        <v>#VALUE!</v>
      </c>
      <c r="AC13" s="286"/>
      <c r="AD13" s="286"/>
      <c r="AE13" s="286"/>
      <c r="AF13" s="286"/>
      <c r="AG13" s="286"/>
      <c r="AH13" s="286"/>
    </row>
    <row r="14" spans="1:47" ht="18" customHeight="1">
      <c r="A14" s="285"/>
      <c r="B14" s="801" t="s">
        <v>595</v>
      </c>
      <c r="C14" s="801"/>
      <c r="D14" s="854"/>
      <c r="E14" s="801"/>
      <c r="F14" s="1770" t="str">
        <f>IF(AE7=TRUE,렌터카견적내기!AA14,IF(AE6=1,렌터카견적내기!F14,렌터카견적내기!P14))</f>
        <v/>
      </c>
      <c r="G14" s="1770"/>
      <c r="H14" s="1771">
        <f ca="1">IF(AE7=TRUE,렌터카견적내기!AB14,IF(AE6=FALSE,렌터카견적내기!J14,렌터카견적내기!T14))</f>
        <v>26092000</v>
      </c>
      <c r="I14" s="1771"/>
      <c r="J14" s="1771"/>
      <c r="K14" s="1771"/>
      <c r="L14" s="855" t="s">
        <v>221</v>
      </c>
      <c r="M14" s="801"/>
      <c r="N14" s="801"/>
      <c r="O14" s="856" t="s">
        <v>596</v>
      </c>
      <c r="P14" s="857"/>
      <c r="Q14" s="1772">
        <f>IF(AE7=TRUE,렌터카견적내기!AA17,IF(AE6=FALSE,렌터카견적내기!F17,렌터카견적내기!P17))</f>
        <v>0.22999080036798528</v>
      </c>
      <c r="R14" s="1772"/>
      <c r="S14" s="1761">
        <f>IF(AE7=TRUE,렌터카견적내기!AB17,IF(AE6=FALSE,렌터카견적내기!BB20,렌터카견적내기!BB45))</f>
        <v>10000000</v>
      </c>
      <c r="T14" s="1761"/>
      <c r="U14" s="1761" t="e">
        <f>IF(AE2=1,#REF!,#REF!)</f>
        <v>#REF!</v>
      </c>
      <c r="V14" s="1761"/>
      <c r="W14" s="1761" t="e">
        <f>IF(AG2=1,#REF!,#REF!)</f>
        <v>#REF!</v>
      </c>
      <c r="X14" s="1761"/>
      <c r="Y14" s="858" t="s">
        <v>221</v>
      </c>
      <c r="Z14" s="847"/>
      <c r="AA14" s="819"/>
      <c r="AB14" s="820"/>
      <c r="AC14" s="286"/>
      <c r="AD14" s="286"/>
      <c r="AE14" s="286"/>
      <c r="AF14" s="286"/>
      <c r="AG14" s="286"/>
      <c r="AH14" s="286"/>
    </row>
    <row r="15" spans="1:47" ht="18" customHeight="1">
      <c r="A15" s="285"/>
      <c r="B15" s="801" t="s">
        <v>239</v>
      </c>
      <c r="C15" s="801"/>
      <c r="D15" s="854"/>
      <c r="E15" s="801"/>
      <c r="F15" s="1763" t="str">
        <f ca="1">IF(AE7=TRUE,렌터카견적내기!Z18,IF(AE6=FALSE,렌터카견적내기!F18,렌터카견적내기!P18))</f>
        <v>셀프</v>
      </c>
      <c r="G15" s="1763"/>
      <c r="H15" s="1763"/>
      <c r="I15" s="1763"/>
      <c r="J15" s="1763"/>
      <c r="K15" s="1763"/>
      <c r="L15" s="855"/>
      <c r="M15" s="801"/>
      <c r="N15" s="801"/>
      <c r="O15" s="856"/>
      <c r="P15" s="856"/>
      <c r="Q15" s="859"/>
      <c r="R15" s="860"/>
      <c r="S15" s="861"/>
      <c r="T15" s="859"/>
      <c r="U15" s="859"/>
      <c r="V15" s="859"/>
      <c r="W15" s="859"/>
      <c r="X15" s="859"/>
      <c r="Y15" s="858"/>
      <c r="Z15" s="847"/>
      <c r="AA15" s="803"/>
      <c r="AB15" s="803"/>
      <c r="AC15" s="286"/>
      <c r="AD15" s="286"/>
      <c r="AE15" s="286"/>
      <c r="AF15" s="286"/>
      <c r="AG15" s="286"/>
      <c r="AH15" s="286"/>
    </row>
    <row r="16" spans="1:47" ht="18" customHeight="1">
      <c r="A16" s="285"/>
      <c r="B16" s="801" t="s">
        <v>209</v>
      </c>
      <c r="C16" s="801"/>
      <c r="D16" s="801"/>
      <c r="E16" s="801"/>
      <c r="F16" s="1760" t="str">
        <f>IF(AE7=TRUE,렌터카견적내기!AB19,IF(AE6=FALSE,렌터카견적내기!J19,렌터카견적내기!T19))</f>
        <v>2만km</v>
      </c>
      <c r="G16" s="1760"/>
      <c r="H16" s="1760"/>
      <c r="I16" s="1760"/>
      <c r="J16" s="1760"/>
      <c r="K16" s="1760"/>
      <c r="L16" s="855"/>
      <c r="M16" s="801"/>
      <c r="N16" s="801"/>
      <c r="O16" s="856" t="s">
        <v>597</v>
      </c>
      <c r="P16" s="857"/>
      <c r="Q16" s="1761"/>
      <c r="R16" s="1761"/>
      <c r="S16" s="1761">
        <f>S13+S14</f>
        <v>10000000</v>
      </c>
      <c r="T16" s="1761"/>
      <c r="U16" s="1761"/>
      <c r="V16" s="1761"/>
      <c r="W16" s="1761"/>
      <c r="X16" s="1761"/>
      <c r="Y16" s="858" t="s">
        <v>221</v>
      </c>
      <c r="Z16" s="847"/>
      <c r="AA16" s="1755" t="s">
        <v>598</v>
      </c>
      <c r="AB16" s="1756"/>
      <c r="AC16" s="286"/>
      <c r="AD16" s="286"/>
      <c r="AE16" s="286"/>
      <c r="AF16" s="286"/>
      <c r="AG16" s="286"/>
      <c r="AH16" s="286"/>
    </row>
    <row r="17" spans="1:34" ht="18" customHeight="1">
      <c r="A17" s="285"/>
      <c r="B17" s="862" t="s">
        <v>599</v>
      </c>
      <c r="C17" s="862"/>
      <c r="D17" s="862"/>
      <c r="E17" s="862"/>
      <c r="F17" s="863"/>
      <c r="G17" s="863"/>
      <c r="H17" s="1757">
        <f ca="1">IF(AE7=TRUE,렌터카견적내기!AB25,IF(AE6=TRUE,렌터카견적내기!AX52,렌터카견적내기!AX51))</f>
        <v>0</v>
      </c>
      <c r="I17" s="1757"/>
      <c r="J17" s="1757"/>
      <c r="K17" s="1757"/>
      <c r="L17" s="864" t="s">
        <v>221</v>
      </c>
      <c r="M17" s="862"/>
      <c r="N17" s="862"/>
      <c r="O17" s="865" t="s">
        <v>222</v>
      </c>
      <c r="P17" s="866"/>
      <c r="Q17" s="863"/>
      <c r="R17" s="1758" t="str">
        <f ca="1">+렌터카견적내기!AS15</f>
        <v/>
      </c>
      <c r="S17" s="1758"/>
      <c r="T17" s="1758"/>
      <c r="U17" s="1758"/>
      <c r="V17" s="1758"/>
      <c r="W17" s="1758"/>
      <c r="X17" s="1758"/>
      <c r="Y17" s="867"/>
      <c r="Z17" s="801"/>
      <c r="AA17" s="1755"/>
      <c r="AB17" s="1756"/>
      <c r="AC17" s="286"/>
      <c r="AD17" s="286"/>
      <c r="AE17" s="286"/>
      <c r="AF17" s="286"/>
      <c r="AG17" s="286"/>
      <c r="AH17" s="286"/>
    </row>
    <row r="18" spans="1:34" ht="18" customHeight="1">
      <c r="A18" s="285"/>
      <c r="B18" s="868" t="s">
        <v>600</v>
      </c>
      <c r="C18" s="868"/>
      <c r="D18" s="868"/>
      <c r="E18" s="1762" t="str">
        <f>IF(AND(AE6=FALSE,AE7=FALSE),"",IF(AND(AE6=TRUE,AE7=FALSE),"견적Ⅱ로 선택되었습니다.",IF(AND(AE6=TRUE,AE7=TRUE),"견적 Ⅲ로 선택되었습니다.",IF(AND(AE6=FALSE,AE7=TRUE),"견적 Ⅲ로 선택되었습니다."))))</f>
        <v/>
      </c>
      <c r="F18" s="1762"/>
      <c r="G18" s="1762"/>
      <c r="H18" s="1762"/>
      <c r="I18" s="1762"/>
      <c r="J18" s="1762"/>
      <c r="K18" s="1762"/>
      <c r="L18" s="869"/>
      <c r="M18" s="869"/>
      <c r="N18" s="869"/>
      <c r="O18" s="869"/>
      <c r="P18" s="869"/>
      <c r="Q18" s="868"/>
      <c r="R18" s="868"/>
      <c r="S18" s="870"/>
      <c r="T18" s="870"/>
      <c r="U18" s="870"/>
      <c r="V18" s="1759" t="s">
        <v>601</v>
      </c>
      <c r="W18" s="1759"/>
      <c r="X18" s="1759"/>
      <c r="Y18" s="1759"/>
      <c r="Z18" s="801"/>
      <c r="AA18" s="803"/>
      <c r="AB18" s="803"/>
      <c r="AC18" s="286"/>
      <c r="AD18" s="286"/>
      <c r="AE18" s="286"/>
      <c r="AF18" s="286"/>
      <c r="AG18" s="286"/>
      <c r="AH18" s="286"/>
    </row>
    <row r="19" spans="1:34" ht="16.5" customHeight="1">
      <c r="A19" s="285"/>
      <c r="B19" s="871"/>
      <c r="C19" s="871"/>
      <c r="D19" s="872"/>
      <c r="E19" s="873" t="s">
        <v>602</v>
      </c>
      <c r="F19" s="874"/>
      <c r="G19" s="1764" t="s">
        <v>603</v>
      </c>
      <c r="H19" s="1764"/>
      <c r="I19" s="1764"/>
      <c r="J19" s="1764"/>
      <c r="K19" s="1764"/>
      <c r="L19" s="1765" t="s">
        <v>604</v>
      </c>
      <c r="M19" s="1765"/>
      <c r="N19" s="1765"/>
      <c r="O19" s="875"/>
      <c r="P19" s="876"/>
      <c r="Q19" s="1797" t="str">
        <f>IF(AA1=FALSE,"유의사항을 확인해주세요",IF(AND(AE7=TRUE,AA1=TRUE),렌터카견적내기!AA20,IF(AND(AE6=TRUE,렌터카견적내기!AN10=TRUE),렌터카견적내기!R24,IF(AND(고객용견적!AE6=TRUE,렌터카견적내기!AN10=FALSE),렌터카견적내기!P20,IF(AND(AE6=FALSE,렌터카견적내기!AN10=TRUE),렌터카견적내기!L24,렌터카견적내기!F20)))))</f>
        <v>유의사항을 확인해주세요</v>
      </c>
      <c r="R19" s="1797"/>
      <c r="S19" s="1797"/>
      <c r="T19" s="1797"/>
      <c r="U19" s="1798"/>
      <c r="V19" s="877"/>
      <c r="W19" s="877"/>
      <c r="X19" s="877"/>
      <c r="Y19" s="877"/>
      <c r="Z19" s="801"/>
      <c r="AA19" s="803"/>
      <c r="AB19" s="803"/>
      <c r="AC19" s="286"/>
      <c r="AD19" s="286"/>
      <c r="AE19" s="286"/>
      <c r="AF19" s="286"/>
      <c r="AG19" s="286"/>
      <c r="AH19" s="286"/>
    </row>
    <row r="20" spans="1:34" ht="23.25" customHeight="1">
      <c r="A20" s="285"/>
      <c r="B20" s="878"/>
      <c r="C20" s="878"/>
      <c r="D20" s="1766">
        <f ca="1">IF(AE7=TRUE,렌터카견적내기!AA21,IF(AE6=FALSE,렌터카견적내기!J21,렌터카견적내기!T21))</f>
        <v>755500</v>
      </c>
      <c r="E20" s="1766"/>
      <c r="F20" s="1766"/>
      <c r="G20" s="1766"/>
      <c r="H20" s="1766">
        <f ca="1">IF(AE7=TRUE,렌터카견적내기!AA22,IF(AE6=FALSE,렌터카견적내기!J22,렌터카견적내기!T22))</f>
        <v>75550</v>
      </c>
      <c r="I20" s="1766"/>
      <c r="J20" s="1766"/>
      <c r="K20" s="1766"/>
      <c r="L20" s="1767">
        <f>IF(AE7=TRUE,렌터카견적내기!AB23,IF(AE6=FALSE,렌터카견적내기!J23,렌터카견적내기!T23))</f>
        <v>277777.77777777775</v>
      </c>
      <c r="M20" s="1767"/>
      <c r="N20" s="879"/>
      <c r="O20" s="880"/>
      <c r="P20" s="880"/>
      <c r="Q20" s="1799"/>
      <c r="R20" s="1799"/>
      <c r="S20" s="1799"/>
      <c r="T20" s="1799"/>
      <c r="U20" s="1800"/>
      <c r="V20" s="877"/>
      <c r="W20" s="877"/>
      <c r="X20" s="877"/>
      <c r="Y20" s="877"/>
      <c r="Z20" s="801"/>
      <c r="AA20" s="803"/>
      <c r="AB20" s="803"/>
      <c r="AC20" s="286"/>
      <c r="AD20" s="286"/>
      <c r="AE20" s="286"/>
      <c r="AF20" s="286"/>
      <c r="AG20" s="286"/>
      <c r="AH20" s="286"/>
    </row>
    <row r="21" spans="1:34" ht="19.5" customHeight="1" thickBot="1">
      <c r="A21" s="285"/>
      <c r="B21" s="1753" t="str">
        <f ca="1">IF(렌터카견적내기!AO17=1,"",IF(렌터카견적내기!AQ35="대상","",IF(렌터카견적내기!AN10=TRUE,"해당 렌트료는 신한카드 본인명의 MyCAR 카드연결조건입니다.",IF(렌터카견적내기!AT4=1,"",IF(AND(렌터카견적내기!AI3="MyCAR_카드연결",렌터카견적내기!AN10=TRUE),"MyCar카드 렌트료 자동이체 연결조건 ▶▶",IF(렌터카견적내기!AI3="대상아님","",""))))))</f>
        <v/>
      </c>
      <c r="C21" s="1753"/>
      <c r="D21" s="1753"/>
      <c r="E21" s="1753"/>
      <c r="F21" s="1753"/>
      <c r="G21" s="1753"/>
      <c r="H21" s="1753"/>
      <c r="I21" s="1753"/>
      <c r="J21" s="1753"/>
      <c r="K21" s="1753"/>
      <c r="L21" s="1753"/>
      <c r="M21" s="1753"/>
      <c r="N21" s="1753"/>
      <c r="O21" s="1753"/>
      <c r="P21" s="1754"/>
      <c r="Q21" s="1801" t="str">
        <f>IF(렌터카견적내기!$AU$8=FALSE,"※ 차량 배정/확보 이전 입니다.","")</f>
        <v/>
      </c>
      <c r="R21" s="1802"/>
      <c r="S21" s="1802"/>
      <c r="T21" s="1802"/>
      <c r="U21" s="1803"/>
      <c r="V21" s="881"/>
      <c r="W21" s="881"/>
      <c r="X21" s="881"/>
      <c r="Y21" s="881"/>
      <c r="Z21" s="801"/>
      <c r="AA21" s="803"/>
      <c r="AB21" s="803"/>
      <c r="AC21" s="286"/>
      <c r="AD21" s="286"/>
      <c r="AE21" s="286"/>
      <c r="AF21" s="286"/>
      <c r="AG21" s="286"/>
      <c r="AH21" s="286"/>
    </row>
    <row r="22" spans="1:34" ht="15.75" customHeight="1">
      <c r="A22" s="285"/>
      <c r="B22" s="871" t="str">
        <f>IF(렌터카견적내기!AM22=1,"*"&amp;렌터카견적내기!B30,"")</f>
        <v/>
      </c>
      <c r="C22" s="882"/>
      <c r="D22" s="882"/>
      <c r="H22" s="883"/>
      <c r="I22" s="883"/>
      <c r="J22" s="884"/>
      <c r="K22" s="884"/>
      <c r="L22" s="884"/>
      <c r="P22" s="883"/>
      <c r="Q22" s="883"/>
      <c r="R22" s="883"/>
      <c r="S22" s="884"/>
      <c r="T22" s="884"/>
      <c r="X22" s="883"/>
      <c r="Y22" s="883"/>
      <c r="Z22" s="801"/>
      <c r="AA22" s="803"/>
      <c r="AB22" s="803"/>
      <c r="AC22" s="286"/>
      <c r="AD22" s="286"/>
      <c r="AE22" s="286"/>
      <c r="AF22" s="286"/>
      <c r="AG22" s="286"/>
      <c r="AH22" s="286"/>
    </row>
    <row r="23" spans="1:34" ht="18" customHeight="1">
      <c r="A23" s="285"/>
      <c r="B23" s="885" t="str">
        <f ca="1">IF(렌터카견적내기!B27="","","*"&amp;+렌터카견적내기!B27)</f>
        <v/>
      </c>
      <c r="C23" s="882"/>
      <c r="D23" s="882"/>
      <c r="H23" s="883"/>
      <c r="I23" s="883"/>
      <c r="J23" s="884"/>
      <c r="K23" s="884"/>
      <c r="L23" s="884"/>
      <c r="P23" s="883"/>
      <c r="Q23" s="883"/>
      <c r="R23" s="884"/>
      <c r="S23" s="884"/>
      <c r="T23" s="884"/>
      <c r="X23" s="883"/>
      <c r="Y23" s="883"/>
      <c r="Z23" s="801"/>
      <c r="AA23" s="803"/>
      <c r="AB23" s="803"/>
      <c r="AC23" s="286"/>
      <c r="AD23" s="286"/>
      <c r="AE23" s="286"/>
      <c r="AF23" s="286"/>
      <c r="AG23" s="286"/>
      <c r="AH23" s="286"/>
    </row>
    <row r="24" spans="1:34" ht="18" customHeight="1">
      <c r="A24" s="285"/>
      <c r="B24" s="871" t="s">
        <v>859</v>
      </c>
      <c r="C24" s="882"/>
      <c r="D24" s="882"/>
      <c r="H24" s="883"/>
      <c r="I24" s="883"/>
      <c r="J24" s="884"/>
      <c r="K24" s="884"/>
      <c r="L24" s="884"/>
      <c r="P24" s="883"/>
      <c r="Q24" s="883"/>
      <c r="R24" s="884"/>
      <c r="S24" s="884"/>
      <c r="T24" s="884"/>
      <c r="X24" s="883"/>
      <c r="Y24" s="883"/>
      <c r="Z24" s="801"/>
      <c r="AA24" s="803"/>
      <c r="AB24" s="803"/>
      <c r="AC24" s="286"/>
      <c r="AD24" s="286"/>
      <c r="AE24" s="286"/>
      <c r="AF24" s="286"/>
      <c r="AG24" s="286"/>
      <c r="AH24" s="286"/>
    </row>
    <row r="25" spans="1:34" ht="16.5" customHeight="1">
      <c r="A25" s="285"/>
      <c r="B25" s="886" t="s">
        <v>1192</v>
      </c>
      <c r="C25" s="882"/>
      <c r="D25" s="882"/>
      <c r="H25" s="883"/>
      <c r="I25" s="883"/>
      <c r="J25" s="884"/>
      <c r="K25" s="884"/>
      <c r="L25" s="884"/>
      <c r="P25" s="883"/>
      <c r="Q25" s="883"/>
      <c r="R25" s="884"/>
      <c r="S25" s="884"/>
      <c r="T25" s="884"/>
      <c r="X25" s="883"/>
      <c r="Y25" s="883"/>
      <c r="Z25" s="801"/>
      <c r="AA25" s="803"/>
      <c r="AB25" s="803"/>
      <c r="AC25" s="286"/>
      <c r="AD25" s="286"/>
      <c r="AE25" s="286"/>
      <c r="AF25" s="286"/>
      <c r="AG25" s="286"/>
      <c r="AH25" s="286"/>
    </row>
    <row r="26" spans="1:34" ht="15.75" customHeight="1">
      <c r="A26" s="285"/>
      <c r="B26" s="807" t="str">
        <f>IF(렌터카견적내기!BI12=2,"*"&amp;" "&amp;렌터카견적내기!B31,"")</f>
        <v/>
      </c>
      <c r="C26" s="882"/>
      <c r="D26" s="882"/>
      <c r="H26" s="883"/>
      <c r="I26" s="883"/>
      <c r="J26" s="884"/>
      <c r="K26" s="884"/>
      <c r="L26" s="884"/>
      <c r="P26" s="883"/>
      <c r="Q26" s="887"/>
      <c r="R26" s="888"/>
      <c r="S26" s="884"/>
      <c r="T26" s="884"/>
      <c r="X26" s="883"/>
      <c r="Y26" s="883"/>
      <c r="Z26" s="801"/>
      <c r="AA26" s="803"/>
      <c r="AB26" s="803"/>
      <c r="AC26" s="286"/>
      <c r="AD26" s="286"/>
      <c r="AE26" s="286"/>
      <c r="AF26" s="286"/>
      <c r="AG26" s="286"/>
      <c r="AH26" s="286"/>
    </row>
    <row r="27" spans="1:34" ht="18" customHeight="1">
      <c r="A27" s="285"/>
      <c r="B27" s="889" t="s">
        <v>605</v>
      </c>
      <c r="C27" s="890"/>
      <c r="D27" s="890"/>
      <c r="E27" s="891"/>
      <c r="F27" s="891"/>
      <c r="G27" s="891"/>
      <c r="H27" s="892"/>
      <c r="I27" s="892"/>
      <c r="J27" s="892"/>
      <c r="K27" s="891"/>
      <c r="L27" s="891"/>
      <c r="M27" s="891"/>
      <c r="N27" s="1748" t="s">
        <v>291</v>
      </c>
      <c r="O27" s="1748"/>
      <c r="P27" s="1748"/>
      <c r="Q27" s="1749" t="str">
        <f>+렌터카견적내기!J32</f>
        <v>연령【26세이상】</v>
      </c>
      <c r="R27" s="1749"/>
      <c r="S27" s="1750"/>
      <c r="T27" s="1748" t="s">
        <v>606</v>
      </c>
      <c r="U27" s="1748"/>
      <c r="V27" s="1748"/>
      <c r="W27" s="1752" t="str">
        <f>IF(렌터카견적내기!AT4=2,"해당없음",+렌터카견적내기!P32)</f>
        <v>해당없음</v>
      </c>
      <c r="X27" s="1752"/>
      <c r="Y27" s="1752"/>
      <c r="Z27" s="801"/>
      <c r="AA27" s="803"/>
      <c r="AB27" s="803"/>
      <c r="AC27" s="286"/>
      <c r="AD27" s="286"/>
      <c r="AE27" s="286"/>
      <c r="AF27" s="286"/>
      <c r="AG27" s="286"/>
      <c r="AH27" s="286"/>
    </row>
    <row r="28" spans="1:34" ht="19.5" customHeight="1">
      <c r="A28" s="285"/>
      <c r="B28" s="1746" t="s">
        <v>246</v>
      </c>
      <c r="C28" s="1746"/>
      <c r="D28" s="1746"/>
      <c r="E28" s="1747" t="s">
        <v>607</v>
      </c>
      <c r="F28" s="1747"/>
      <c r="G28" s="1747"/>
      <c r="H28" s="1746" t="s">
        <v>252</v>
      </c>
      <c r="I28" s="1746"/>
      <c r="J28" s="1746"/>
      <c r="K28" s="1747" t="s">
        <v>608</v>
      </c>
      <c r="L28" s="1747"/>
      <c r="M28" s="1747"/>
      <c r="N28" s="1746" t="s">
        <v>255</v>
      </c>
      <c r="O28" s="1746"/>
      <c r="P28" s="1746"/>
      <c r="Q28" s="1751" t="str">
        <f>렌터카견적내기!E33</f>
        <v>대물조건【1억원】</v>
      </c>
      <c r="R28" s="1751"/>
      <c r="S28" s="1751"/>
      <c r="T28" s="1746" t="s">
        <v>298</v>
      </c>
      <c r="U28" s="1746"/>
      <c r="V28" s="1746"/>
      <c r="W28" s="1751" t="str">
        <f>렌터카견적내기!J33</f>
        <v>자기신체【1억원】</v>
      </c>
      <c r="X28" s="1751"/>
      <c r="Y28" s="1751"/>
      <c r="Z28" s="893"/>
      <c r="AA28" s="803"/>
      <c r="AB28" s="803"/>
      <c r="AC28" s="286"/>
      <c r="AD28" s="286"/>
      <c r="AE28" s="286"/>
      <c r="AF28" s="286"/>
      <c r="AG28" s="286"/>
      <c r="AH28" s="286"/>
    </row>
    <row r="29" spans="1:34" ht="18" customHeight="1">
      <c r="A29" s="285"/>
      <c r="B29" s="1743" t="s">
        <v>299</v>
      </c>
      <c r="C29" s="1743"/>
      <c r="D29" s="1743"/>
      <c r="E29" s="1744" t="s">
        <v>265</v>
      </c>
      <c r="F29" s="1744"/>
      <c r="G29" s="1744"/>
      <c r="H29" s="1743" t="s">
        <v>300</v>
      </c>
      <c r="I29" s="1743"/>
      <c r="J29" s="1743"/>
      <c r="K29" s="1745" t="str">
        <f ca="1">렌터카견적내기!U33</f>
        <v>30만원</v>
      </c>
      <c r="L29" s="1745"/>
      <c r="M29" s="1745"/>
      <c r="N29" s="894" t="s">
        <v>609</v>
      </c>
      <c r="O29" s="895"/>
      <c r="P29" s="895"/>
      <c r="Q29" s="896"/>
      <c r="R29" s="896"/>
      <c r="S29" s="896"/>
      <c r="T29" s="895"/>
      <c r="U29" s="895"/>
      <c r="V29" s="895"/>
      <c r="W29" s="896"/>
      <c r="X29" s="896"/>
      <c r="Y29" s="896"/>
      <c r="Z29" s="893"/>
      <c r="AA29" s="803"/>
      <c r="AB29" s="803"/>
      <c r="AC29" s="286"/>
      <c r="AD29" s="286"/>
      <c r="AE29" s="286"/>
      <c r="AF29" s="286"/>
      <c r="AG29" s="286"/>
      <c r="AH29" s="286"/>
    </row>
    <row r="30" spans="1:34" ht="18" customHeight="1">
      <c r="A30" s="285"/>
      <c r="B30" s="1733" t="s">
        <v>294</v>
      </c>
      <c r="C30" s="1733"/>
      <c r="D30" s="1734"/>
      <c r="E30" s="897" t="s">
        <v>610</v>
      </c>
      <c r="F30" s="898"/>
      <c r="G30" s="898"/>
      <c r="H30" s="899"/>
      <c r="I30" s="899"/>
      <c r="J30" s="899"/>
      <c r="K30" s="898"/>
      <c r="L30" s="898"/>
      <c r="M30" s="898"/>
      <c r="N30" s="900"/>
      <c r="O30" s="901"/>
      <c r="P30" s="901"/>
      <c r="Q30" s="902"/>
      <c r="R30" s="902"/>
      <c r="S30" s="902"/>
      <c r="T30" s="901"/>
      <c r="U30" s="901"/>
      <c r="V30" s="901"/>
      <c r="W30" s="902"/>
      <c r="X30" s="902"/>
      <c r="Y30" s="902"/>
      <c r="Z30" s="893"/>
      <c r="AA30" s="803"/>
      <c r="AB30" s="803"/>
      <c r="AC30" s="286"/>
      <c r="AD30" s="286"/>
      <c r="AE30" s="286"/>
      <c r="AF30" s="286"/>
      <c r="AG30" s="286"/>
      <c r="AH30" s="286"/>
    </row>
    <row r="31" spans="1:34" ht="18" customHeight="1" thickBot="1">
      <c r="A31" s="285"/>
      <c r="B31" s="1735"/>
      <c r="C31" s="1735"/>
      <c r="D31" s="1736"/>
      <c r="E31" s="903" t="s">
        <v>611</v>
      </c>
      <c r="F31" s="904"/>
      <c r="G31" s="904"/>
      <c r="H31" s="905"/>
      <c r="I31" s="906"/>
      <c r="J31" s="906"/>
      <c r="K31" s="904"/>
      <c r="L31" s="904"/>
      <c r="M31" s="904"/>
      <c r="N31" s="907"/>
      <c r="O31" s="908"/>
      <c r="P31" s="908"/>
      <c r="Q31" s="909"/>
      <c r="R31" s="909"/>
      <c r="S31" s="909"/>
      <c r="T31" s="908"/>
      <c r="U31" s="908"/>
      <c r="V31" s="908"/>
      <c r="W31" s="909"/>
      <c r="X31" s="909"/>
      <c r="Y31" s="909"/>
      <c r="Z31" s="893"/>
      <c r="AA31" s="803"/>
      <c r="AB31" s="803"/>
      <c r="AC31" s="286"/>
      <c r="AD31" s="286"/>
      <c r="AE31" s="286"/>
      <c r="AF31" s="286"/>
      <c r="AG31" s="286"/>
      <c r="AH31" s="286"/>
    </row>
    <row r="32" spans="1:34" ht="18" customHeight="1">
      <c r="A32" s="285"/>
      <c r="B32" s="871" t="str">
        <f>IF(렌터카견적내기!AO5=1,"＊본 견적서는 본사출고 조건입니다.","＊본 견적서는 대리점출고 조건입니다.")</f>
        <v>＊본 견적서는 대리점출고 조건입니다.</v>
      </c>
      <c r="Z32" s="893"/>
      <c r="AA32" s="803"/>
      <c r="AB32" s="803"/>
      <c r="AC32" s="286"/>
      <c r="AD32" s="286"/>
      <c r="AE32" s="286"/>
      <c r="AF32" s="286"/>
      <c r="AG32" s="286"/>
      <c r="AH32" s="286"/>
    </row>
    <row r="33" spans="1:34" ht="18" customHeight="1">
      <c r="A33" s="291"/>
      <c r="B33" s="910" t="s">
        <v>612</v>
      </c>
      <c r="E33" s="871" t="s">
        <v>1271</v>
      </c>
      <c r="Z33" s="911"/>
      <c r="AA33" s="803"/>
      <c r="AB33" s="803"/>
      <c r="AC33" s="286"/>
      <c r="AD33" s="286"/>
      <c r="AE33" s="286"/>
      <c r="AF33" s="286"/>
      <c r="AG33" s="286"/>
      <c r="AH33" s="286"/>
    </row>
    <row r="34" spans="1:34" ht="18" customHeight="1">
      <c r="A34" s="291"/>
      <c r="B34" s="912" t="s">
        <v>239</v>
      </c>
      <c r="C34" s="822"/>
      <c r="D34" s="822"/>
      <c r="E34" s="912" t="s">
        <v>308</v>
      </c>
      <c r="F34" s="822"/>
      <c r="G34" s="822"/>
      <c r="H34" s="913" t="s">
        <v>309</v>
      </c>
      <c r="I34" s="913"/>
      <c r="J34" s="914" t="s">
        <v>310</v>
      </c>
      <c r="K34" s="913"/>
      <c r="L34" s="915" t="s">
        <v>311</v>
      </c>
      <c r="M34" s="914" t="s">
        <v>285</v>
      </c>
      <c r="N34" s="916"/>
      <c r="O34" s="913" t="s">
        <v>312</v>
      </c>
      <c r="P34" s="916"/>
      <c r="Q34" s="914" t="s">
        <v>313</v>
      </c>
      <c r="R34" s="916"/>
      <c r="S34" s="914" t="s">
        <v>613</v>
      </c>
      <c r="T34" s="1737" t="s">
        <v>614</v>
      </c>
      <c r="U34" s="1737"/>
      <c r="V34" s="1737"/>
      <c r="W34" s="1738" t="s">
        <v>316</v>
      </c>
      <c r="X34" s="1738"/>
      <c r="Y34" s="1738"/>
      <c r="Z34" s="1739" t="str">
        <f ca="1">IF(렌터카견적내기!AW16="E","선불카드제공","")</f>
        <v/>
      </c>
      <c r="AA34" s="1739"/>
      <c r="AB34" s="1739"/>
      <c r="AC34" s="286"/>
      <c r="AD34" s="286"/>
      <c r="AE34" s="286"/>
      <c r="AF34" s="286"/>
      <c r="AG34" s="286"/>
      <c r="AH34" s="286"/>
    </row>
    <row r="35" spans="1:34" ht="18" customHeight="1">
      <c r="A35" s="291"/>
      <c r="B35" s="917" t="str">
        <f ca="1">IF(AE7=TRUE,렌터카견적내기!B40,IF(AND(고객용견적!AE7=FALSE,고객용견적!AE6=TRUE),렌터카견적내기!B39,렌터카견적내기!B38))</f>
        <v>셀프</v>
      </c>
      <c r="C35" s="817"/>
      <c r="D35" s="817"/>
      <c r="E35" s="918" t="str">
        <f ca="1">IF(AE7=TRUE,렌터카견적내기!F40,IF(AND(고객용견적!AE7=FALSE,고객용견적!AE6=TRUE),렌터카견적내기!F39,렌터카견적내기!F38))</f>
        <v>자가정비</v>
      </c>
      <c r="F35" s="817"/>
      <c r="G35" s="817"/>
      <c r="H35" s="919" t="str">
        <f ca="1">IF(AE7=TRUE,렌터카견적내기!I40,IF(AND(고객용견적!AE7=FALSE,고객용견적!AE6=TRUE),렌터카견적내기!I39,렌터카견적내기!I38))</f>
        <v>N</v>
      </c>
      <c r="I35" s="920"/>
      <c r="J35" s="919" t="str">
        <f ca="1">IF(AE7=TRUE,렌터카견적내기!K40,IF(AND(고객용견적!AE7=FALSE,고객용견적!AE6=TRUE),렌터카견적내기!K39,렌터카견적내기!K38))</f>
        <v>Y</v>
      </c>
      <c r="K35" s="920"/>
      <c r="L35" s="919" t="str">
        <f>IF(AE7=TRUE,렌터카견적내기!AA40,IF(AND(고객용견적!AE7=FALSE,고객용견적!AE6=TRUE),렌터카견적내기!AA39,렌터카견적내기!AA38))</f>
        <v>Y</v>
      </c>
      <c r="M35" s="919" t="str">
        <f ca="1">IF(AE7=TRUE,렌터카견적내기!N40,IF(AND(고객용견적!AE7=FALSE,고객용견적!AE6=TRUE),렌터카견적내기!N39,렌터카견적내기!N38))</f>
        <v xml:space="preserve">  Y</v>
      </c>
      <c r="N35" s="817"/>
      <c r="O35" s="919" t="str">
        <f ca="1">IF(AE7=TRUE,렌터카견적내기!U40,IF(AND(고객용견적!AE7=FALSE,고객용견적!AE6=TRUE),렌터카견적내기!U39,렌터카견적내기!U38))</f>
        <v xml:space="preserve">  Y</v>
      </c>
      <c r="P35" s="817"/>
      <c r="Q35" s="919" t="str">
        <f ca="1">IF(AE7=TRUE,렌터카견적내기!Q40,IF(AND(고객용견적!AE7=FALSE,고객용견적!AE6=TRUE),렌터카견적내기!Q39,렌터카견적내기!Q38))</f>
        <v xml:space="preserve">  N</v>
      </c>
      <c r="R35" s="817"/>
      <c r="S35" s="919" t="str">
        <f ca="1">IF(AE7=TRUE,렌터카견적내기!AB40,IF(AND(고객용견적!AE7=FALSE,고객용견적!AE6=TRUE),렌터카견적내기!AB39,렌터카견적내기!AB38))</f>
        <v xml:space="preserve">   N</v>
      </c>
      <c r="T35" s="1740" t="str">
        <f ca="1">IF(AE7=TRUE,렌터카견적내기!W40,IF(AND(고객용견적!AE7=FALSE,고객용견적!AE6=TRUE),렌터카견적내기!W39,렌터카견적내기!W38))</f>
        <v>N</v>
      </c>
      <c r="U35" s="1740"/>
      <c r="V35" s="1740"/>
      <c r="W35" s="1741" t="str">
        <f ca="1">IF(AE7=TRUE,렌터카견적내기!U40,IF(AND(고객용견적!AE7=FALSE,고객용견적!AE6=TRUE),렌터카견적내기!U39,렌터카견적내기!U38))</f>
        <v xml:space="preserve">  Y</v>
      </c>
      <c r="X35" s="1741"/>
      <c r="Y35" s="1741"/>
      <c r="Z35" s="921" t="str">
        <f ca="1">IF(렌터카견적내기!AW16="E","Y","")</f>
        <v/>
      </c>
      <c r="AA35" s="803"/>
      <c r="AB35" s="803"/>
      <c r="AC35" s="286"/>
      <c r="AD35" s="286"/>
      <c r="AE35" s="286"/>
      <c r="AF35" s="286"/>
      <c r="AG35" s="286"/>
      <c r="AH35" s="286"/>
    </row>
    <row r="36" spans="1:34" ht="3.75" customHeight="1">
      <c r="A36" s="291"/>
      <c r="B36" s="293"/>
      <c r="C36" s="294"/>
      <c r="D36" s="294"/>
      <c r="E36" s="294"/>
      <c r="F36" s="293"/>
      <c r="G36" s="293"/>
      <c r="H36" s="293"/>
      <c r="I36" s="293"/>
      <c r="J36" s="293"/>
      <c r="K36" s="295"/>
      <c r="L36" s="293"/>
      <c r="M36" s="296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2"/>
      <c r="AA36" s="286"/>
      <c r="AB36" s="286"/>
      <c r="AC36" s="286"/>
      <c r="AD36" s="286"/>
      <c r="AE36" s="286"/>
      <c r="AF36" s="286"/>
      <c r="AG36" s="286"/>
      <c r="AH36" s="286"/>
    </row>
    <row r="37" spans="1:34" ht="17.25" customHeight="1">
      <c r="A37" s="291"/>
      <c r="B37" s="298"/>
      <c r="C37" s="299"/>
      <c r="D37" s="299"/>
      <c r="E37" s="1742" t="s">
        <v>615</v>
      </c>
      <c r="F37" s="1742"/>
      <c r="G37" s="1742"/>
      <c r="H37" s="1732" t="s">
        <v>616</v>
      </c>
      <c r="I37" s="1732"/>
      <c r="J37" s="1732"/>
      <c r="K37" s="1732" t="s">
        <v>617</v>
      </c>
      <c r="L37" s="1732"/>
      <c r="M37" s="300" t="s">
        <v>618</v>
      </c>
      <c r="N37" s="1732" t="s">
        <v>619</v>
      </c>
      <c r="O37" s="1732"/>
      <c r="P37" s="1732"/>
      <c r="Q37" s="1732"/>
      <c r="R37" s="1732" t="s">
        <v>620</v>
      </c>
      <c r="S37" s="1732"/>
      <c r="T37" s="1732"/>
      <c r="U37" s="1732" t="s">
        <v>621</v>
      </c>
      <c r="V37" s="1732"/>
      <c r="W37" s="1732"/>
      <c r="X37" s="1732"/>
      <c r="Y37" s="300" t="s">
        <v>622</v>
      </c>
      <c r="Z37" s="301"/>
      <c r="AA37" s="286"/>
      <c r="AB37" s="286"/>
      <c r="AC37" s="286"/>
      <c r="AD37" s="286"/>
      <c r="AE37" s="286"/>
      <c r="AF37" s="286"/>
      <c r="AG37" s="286"/>
      <c r="AH37" s="286"/>
    </row>
    <row r="38" spans="1:34" ht="18" customHeight="1">
      <c r="A38" s="291"/>
      <c r="B38" s="1731" t="s">
        <v>623</v>
      </c>
      <c r="C38" s="1731"/>
      <c r="D38" s="1731"/>
      <c r="E38" s="1730">
        <v>0.7</v>
      </c>
      <c r="F38" s="1730"/>
      <c r="G38" s="1730"/>
      <c r="H38" s="1730">
        <v>0.65</v>
      </c>
      <c r="I38" s="1730"/>
      <c r="J38" s="1730"/>
      <c r="K38" s="1730">
        <v>0.6</v>
      </c>
      <c r="L38" s="1730"/>
      <c r="M38" s="302">
        <v>0.55000000000000004</v>
      </c>
      <c r="N38" s="1730">
        <v>0.5</v>
      </c>
      <c r="O38" s="1730"/>
      <c r="P38" s="1730"/>
      <c r="Q38" s="1730"/>
      <c r="R38" s="1730">
        <v>0.4</v>
      </c>
      <c r="S38" s="1730"/>
      <c r="T38" s="1730"/>
      <c r="U38" s="1730">
        <v>0.3</v>
      </c>
      <c r="V38" s="1730"/>
      <c r="W38" s="1730"/>
      <c r="X38" s="1730"/>
      <c r="Y38" s="302">
        <v>0.2</v>
      </c>
      <c r="Z38" s="301"/>
      <c r="AA38" s="286"/>
      <c r="AB38" s="286"/>
      <c r="AC38" s="286"/>
      <c r="AD38" s="286"/>
      <c r="AE38" s="286"/>
      <c r="AF38" s="286"/>
      <c r="AG38" s="286"/>
      <c r="AH38" s="286"/>
    </row>
    <row r="39" spans="1:34" ht="18" customHeight="1">
      <c r="A39" s="291"/>
      <c r="B39" s="922" t="s">
        <v>320</v>
      </c>
      <c r="C39" s="923"/>
      <c r="D39" s="923"/>
      <c r="E39" s="923"/>
      <c r="F39" s="923"/>
      <c r="G39" s="804"/>
      <c r="H39" s="804"/>
      <c r="J39" s="922" t="s">
        <v>321</v>
      </c>
      <c r="K39" s="924"/>
      <c r="L39" s="923"/>
      <c r="M39" s="804"/>
      <c r="N39" s="804"/>
      <c r="P39" s="804"/>
      <c r="Q39" s="804"/>
      <c r="R39" s="804"/>
      <c r="S39" s="922" t="s">
        <v>322</v>
      </c>
      <c r="T39" s="922"/>
      <c r="U39" s="922"/>
      <c r="V39" s="922"/>
      <c r="W39" s="804"/>
      <c r="X39" s="804"/>
      <c r="Y39" s="804"/>
      <c r="Z39" s="925"/>
      <c r="AA39" s="286"/>
      <c r="AB39" s="286"/>
      <c r="AC39" s="286"/>
      <c r="AD39" s="286"/>
      <c r="AE39" s="286"/>
      <c r="AF39" s="286"/>
      <c r="AG39" s="286"/>
      <c r="AH39" s="286"/>
    </row>
    <row r="40" spans="1:34" ht="13.5" customHeight="1">
      <c r="A40" s="291"/>
      <c r="B40" s="804" t="s">
        <v>324</v>
      </c>
      <c r="C40" s="804"/>
      <c r="D40" s="804"/>
      <c r="E40" s="804"/>
      <c r="F40" s="804"/>
      <c r="G40" s="804"/>
      <c r="H40" s="804"/>
      <c r="J40" s="804" t="s">
        <v>325</v>
      </c>
      <c r="K40" s="926"/>
      <c r="L40" s="804"/>
      <c r="M40" s="804"/>
      <c r="N40" s="804"/>
      <c r="P40" s="804"/>
      <c r="Q40" s="804"/>
      <c r="R40" s="804"/>
      <c r="S40" s="804" t="s">
        <v>325</v>
      </c>
      <c r="T40" s="926"/>
      <c r="U40" s="926"/>
      <c r="V40" s="804"/>
      <c r="W40" s="804"/>
      <c r="X40" s="804"/>
      <c r="Y40" s="804"/>
      <c r="Z40" s="925"/>
      <c r="AA40" s="286"/>
      <c r="AB40" s="286"/>
      <c r="AC40" s="286"/>
      <c r="AD40" s="286"/>
      <c r="AE40" s="286"/>
      <c r="AF40" s="286"/>
      <c r="AG40" s="286"/>
      <c r="AH40" s="286"/>
    </row>
    <row r="41" spans="1:34" ht="13.5" customHeight="1">
      <c r="A41" s="291"/>
      <c r="B41" s="804" t="s">
        <v>327</v>
      </c>
      <c r="C41" s="804"/>
      <c r="D41" s="804"/>
      <c r="E41" s="804"/>
      <c r="F41" s="804"/>
      <c r="G41" s="804"/>
      <c r="H41" s="804"/>
      <c r="J41" s="804" t="s">
        <v>328</v>
      </c>
      <c r="K41" s="926"/>
      <c r="L41" s="804"/>
      <c r="M41" s="804"/>
      <c r="N41" s="804"/>
      <c r="P41" s="804"/>
      <c r="Q41" s="804"/>
      <c r="R41" s="804"/>
      <c r="S41" s="804" t="s">
        <v>328</v>
      </c>
      <c r="T41" s="926"/>
      <c r="U41" s="926"/>
      <c r="V41" s="804"/>
      <c r="W41" s="804"/>
      <c r="X41" s="804"/>
      <c r="Y41" s="804"/>
      <c r="Z41" s="804"/>
      <c r="AA41" s="286"/>
      <c r="AB41" s="286"/>
      <c r="AC41" s="286"/>
      <c r="AD41" s="286"/>
      <c r="AE41" s="286"/>
      <c r="AF41" s="286"/>
      <c r="AG41" s="286"/>
      <c r="AH41" s="286"/>
    </row>
    <row r="42" spans="1:34" ht="13.5" customHeight="1">
      <c r="A42" s="291"/>
      <c r="B42" s="804" t="s">
        <v>330</v>
      </c>
      <c r="C42" s="804"/>
      <c r="D42" s="804"/>
      <c r="E42" s="804"/>
      <c r="F42" s="804"/>
      <c r="G42" s="804"/>
      <c r="H42" s="804"/>
      <c r="J42" s="804" t="s">
        <v>331</v>
      </c>
      <c r="K42" s="926"/>
      <c r="L42" s="804"/>
      <c r="M42" s="804"/>
      <c r="N42" s="804"/>
      <c r="P42" s="804"/>
      <c r="Q42" s="804"/>
      <c r="R42" s="804"/>
      <c r="S42" s="804" t="s">
        <v>331</v>
      </c>
      <c r="T42" s="804"/>
      <c r="U42" s="804"/>
      <c r="V42" s="804"/>
      <c r="W42" s="804"/>
      <c r="X42" s="804"/>
      <c r="Y42" s="804"/>
      <c r="Z42" s="804"/>
      <c r="AA42" s="286"/>
      <c r="AB42" s="286"/>
      <c r="AC42" s="286"/>
      <c r="AD42" s="286"/>
      <c r="AE42" s="286"/>
      <c r="AF42" s="286"/>
      <c r="AG42" s="286"/>
      <c r="AH42" s="286"/>
    </row>
    <row r="43" spans="1:34" ht="13.5" customHeight="1">
      <c r="A43" s="291"/>
      <c r="B43" s="804" t="s">
        <v>332</v>
      </c>
      <c r="C43" s="804"/>
      <c r="D43" s="804"/>
      <c r="E43" s="804"/>
      <c r="F43" s="804"/>
      <c r="G43" s="804"/>
      <c r="H43" s="804"/>
      <c r="J43" s="804" t="s">
        <v>333</v>
      </c>
      <c r="K43" s="804"/>
      <c r="L43" s="804"/>
      <c r="M43" s="804"/>
      <c r="N43" s="804"/>
      <c r="P43" s="804"/>
      <c r="Q43" s="804"/>
      <c r="R43" s="804"/>
      <c r="S43" s="804" t="s">
        <v>333</v>
      </c>
      <c r="T43" s="804"/>
      <c r="U43" s="804"/>
      <c r="V43" s="804"/>
      <c r="W43" s="804"/>
      <c r="X43" s="804"/>
      <c r="Y43" s="804"/>
      <c r="Z43" s="804"/>
      <c r="AA43" s="286"/>
      <c r="AB43" s="286"/>
      <c r="AC43" s="286"/>
      <c r="AD43" s="286"/>
      <c r="AE43" s="286"/>
      <c r="AF43" s="286"/>
      <c r="AG43" s="286"/>
      <c r="AH43" s="286"/>
    </row>
    <row r="44" spans="1:34" ht="13.5" customHeight="1">
      <c r="A44" s="291"/>
      <c r="B44" s="804" t="s">
        <v>335</v>
      </c>
      <c r="C44" s="804"/>
      <c r="D44" s="804"/>
      <c r="E44" s="804"/>
      <c r="F44" s="804"/>
      <c r="G44" s="804"/>
      <c r="H44" s="804"/>
      <c r="J44" s="804" t="s">
        <v>336</v>
      </c>
      <c r="K44" s="804"/>
      <c r="L44" s="804"/>
      <c r="M44" s="804"/>
      <c r="N44" s="804"/>
      <c r="P44" s="804"/>
      <c r="Q44" s="804"/>
      <c r="R44" s="804"/>
      <c r="S44" s="804" t="s">
        <v>337</v>
      </c>
      <c r="T44" s="804"/>
      <c r="U44" s="804"/>
      <c r="V44" s="804"/>
      <c r="W44" s="804"/>
      <c r="X44" s="804"/>
      <c r="Y44" s="804"/>
      <c r="Z44" s="804"/>
      <c r="AA44" s="286"/>
      <c r="AB44" s="286"/>
      <c r="AC44" s="286"/>
      <c r="AD44" s="286"/>
      <c r="AE44" s="286"/>
      <c r="AF44" s="286"/>
      <c r="AG44" s="286"/>
      <c r="AH44" s="286"/>
    </row>
    <row r="45" spans="1:34" ht="13.5" customHeight="1">
      <c r="A45" s="291"/>
      <c r="B45" s="804" t="s">
        <v>339</v>
      </c>
      <c r="C45" s="804"/>
      <c r="D45" s="804"/>
      <c r="E45" s="804"/>
      <c r="F45" s="804"/>
      <c r="G45" s="804"/>
      <c r="H45" s="804"/>
      <c r="J45" s="804" t="s">
        <v>340</v>
      </c>
      <c r="K45" s="804"/>
      <c r="L45" s="804"/>
      <c r="M45" s="804"/>
      <c r="N45" s="804"/>
      <c r="P45" s="804"/>
      <c r="Q45" s="804"/>
      <c r="R45" s="804"/>
      <c r="S45" s="804" t="s">
        <v>336</v>
      </c>
      <c r="T45" s="804"/>
      <c r="U45" s="804"/>
      <c r="V45" s="804"/>
      <c r="W45" s="804"/>
      <c r="X45" s="804"/>
      <c r="Y45" s="804"/>
      <c r="Z45" s="804"/>
      <c r="AA45" s="286"/>
      <c r="AB45" s="286"/>
      <c r="AC45" s="286"/>
      <c r="AD45" s="286"/>
      <c r="AE45" s="286"/>
      <c r="AF45" s="286"/>
      <c r="AG45" s="286"/>
      <c r="AH45" s="286"/>
    </row>
    <row r="46" spans="1:34" ht="13.5" customHeight="1">
      <c r="A46" s="291"/>
      <c r="B46" s="804" t="s">
        <v>343</v>
      </c>
      <c r="C46" s="804"/>
      <c r="D46" s="804"/>
      <c r="E46" s="804"/>
      <c r="F46" s="804"/>
      <c r="G46" s="804"/>
      <c r="H46" s="804"/>
      <c r="J46" s="804" t="s">
        <v>344</v>
      </c>
      <c r="K46" s="804"/>
      <c r="L46" s="804"/>
      <c r="M46" s="804"/>
      <c r="N46" s="804"/>
      <c r="P46" s="804"/>
      <c r="Q46" s="804"/>
      <c r="R46" s="804"/>
      <c r="S46" s="804" t="s">
        <v>345</v>
      </c>
      <c r="T46" s="804"/>
      <c r="U46" s="804"/>
      <c r="V46" s="804"/>
      <c r="W46" s="804"/>
      <c r="X46" s="804"/>
      <c r="Y46" s="804"/>
      <c r="Z46" s="804"/>
      <c r="AA46" s="286"/>
      <c r="AB46" s="286"/>
      <c r="AC46" s="286"/>
      <c r="AD46" s="286"/>
      <c r="AE46" s="286"/>
      <c r="AF46" s="286"/>
      <c r="AG46" s="286"/>
      <c r="AH46" s="286"/>
    </row>
    <row r="47" spans="1:34" ht="13.5" customHeight="1">
      <c r="A47" s="291"/>
      <c r="B47" s="804" t="s">
        <v>347</v>
      </c>
      <c r="C47" s="804"/>
      <c r="D47" s="804"/>
      <c r="E47" s="804"/>
      <c r="F47" s="804"/>
      <c r="G47" s="804"/>
      <c r="H47" s="804"/>
      <c r="J47" s="804" t="s">
        <v>348</v>
      </c>
      <c r="K47" s="804"/>
      <c r="L47" s="804"/>
      <c r="M47" s="804"/>
      <c r="N47" s="804"/>
      <c r="P47" s="804"/>
      <c r="Q47" s="804"/>
      <c r="R47" s="804"/>
      <c r="S47" s="804" t="s">
        <v>624</v>
      </c>
      <c r="T47" s="804"/>
      <c r="U47" s="804"/>
      <c r="V47" s="804"/>
      <c r="W47" s="804"/>
      <c r="X47" s="804"/>
      <c r="Y47" s="804"/>
      <c r="Z47" s="804"/>
      <c r="AA47" s="286"/>
      <c r="AB47" s="286"/>
      <c r="AC47" s="286"/>
      <c r="AD47" s="286"/>
      <c r="AE47" s="286"/>
      <c r="AF47" s="286"/>
      <c r="AG47" s="286"/>
      <c r="AH47" s="286"/>
    </row>
    <row r="48" spans="1:34" ht="13.5" customHeight="1">
      <c r="A48" s="1158"/>
      <c r="B48" s="804" t="s">
        <v>350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927"/>
      <c r="P48" s="804"/>
      <c r="Q48" s="804"/>
      <c r="R48" s="804"/>
      <c r="S48" s="804"/>
      <c r="T48" s="804"/>
      <c r="U48" s="804"/>
      <c r="V48" s="804"/>
      <c r="W48" s="804"/>
      <c r="X48" s="804"/>
      <c r="Y48" s="804"/>
      <c r="Z48" s="804"/>
      <c r="AA48" s="286"/>
      <c r="AB48" s="286"/>
      <c r="AC48" s="286"/>
      <c r="AD48" s="286"/>
      <c r="AE48" s="286"/>
      <c r="AF48" s="286"/>
      <c r="AG48" s="286"/>
      <c r="AH48" s="286"/>
    </row>
    <row r="49" spans="1:26" ht="13.5" customHeight="1">
      <c r="B49" s="804" t="s">
        <v>352</v>
      </c>
    </row>
    <row r="50" spans="1:26" ht="13.5" customHeight="1">
      <c r="B50" s="804" t="s">
        <v>355</v>
      </c>
      <c r="O50" s="1159" t="s">
        <v>356</v>
      </c>
      <c r="P50" s="817"/>
      <c r="Q50" s="817"/>
      <c r="R50" s="817"/>
      <c r="S50" s="817"/>
      <c r="T50" s="817"/>
      <c r="U50" s="817"/>
      <c r="V50" s="817"/>
      <c r="W50" s="817"/>
      <c r="X50" s="817"/>
      <c r="Y50" s="817"/>
    </row>
    <row r="51" spans="1:26" ht="18" hidden="1" customHeight="1">
      <c r="A51" s="286"/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  <c r="O51" s="803"/>
      <c r="P51" s="803"/>
      <c r="Q51" s="803"/>
      <c r="R51" s="803"/>
      <c r="S51" s="803"/>
      <c r="T51" s="803"/>
      <c r="U51" s="803"/>
      <c r="V51" s="803"/>
      <c r="W51" s="803"/>
      <c r="X51" s="803"/>
      <c r="Y51" s="803"/>
      <c r="Z51" s="803"/>
    </row>
    <row r="52" spans="1:26" ht="18" hidden="1" customHeight="1">
      <c r="A52" s="286"/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  <c r="O52" s="803"/>
      <c r="P52" s="803"/>
      <c r="Q52" s="803"/>
      <c r="R52" s="803"/>
      <c r="S52" s="803"/>
      <c r="T52" s="803"/>
      <c r="U52" s="803"/>
      <c r="V52" s="803"/>
      <c r="W52" s="803"/>
      <c r="X52" s="803"/>
      <c r="Y52" s="803"/>
      <c r="Z52" s="803"/>
    </row>
    <row r="53" spans="1:26" ht="18" hidden="1" customHeight="1">
      <c r="A53" s="286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3"/>
      <c r="P53" s="803"/>
      <c r="Q53" s="803"/>
      <c r="R53" s="803"/>
      <c r="S53" s="803"/>
      <c r="T53" s="803"/>
      <c r="U53" s="803"/>
      <c r="V53" s="803"/>
      <c r="W53" s="803"/>
      <c r="X53" s="803"/>
      <c r="Y53" s="803"/>
      <c r="Z53" s="803"/>
    </row>
    <row r="54" spans="1:26" ht="18" hidden="1" customHeight="1">
      <c r="A54" s="286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3"/>
      <c r="P54" s="803"/>
      <c r="Q54" s="803"/>
      <c r="R54" s="803"/>
      <c r="S54" s="803"/>
      <c r="T54" s="803"/>
      <c r="U54" s="803"/>
      <c r="V54" s="803"/>
      <c r="W54" s="803"/>
      <c r="X54" s="803"/>
      <c r="Y54" s="803"/>
      <c r="Z54" s="803"/>
    </row>
    <row r="55" spans="1:26" ht="18" hidden="1" customHeight="1">
      <c r="A55" s="286"/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</row>
    <row r="56" spans="1:26" ht="18" hidden="1" customHeight="1">
      <c r="A56" s="286"/>
      <c r="B56" s="803"/>
      <c r="C56" s="803"/>
      <c r="D56" s="803"/>
      <c r="E56" s="803"/>
      <c r="F56" s="803"/>
      <c r="G56" s="803"/>
      <c r="H56" s="803"/>
      <c r="I56" s="803"/>
      <c r="J56" s="803"/>
      <c r="K56" s="803"/>
      <c r="L56" s="803"/>
      <c r="M56" s="803"/>
      <c r="N56" s="803"/>
      <c r="O56" s="803"/>
      <c r="P56" s="803"/>
      <c r="Q56" s="803"/>
      <c r="R56" s="803"/>
      <c r="S56" s="803"/>
      <c r="T56" s="803"/>
      <c r="U56" s="803"/>
      <c r="V56" s="803"/>
      <c r="W56" s="803"/>
      <c r="X56" s="803"/>
      <c r="Y56" s="803"/>
      <c r="Z56" s="803"/>
    </row>
    <row r="57" spans="1:26" ht="18" hidden="1" customHeight="1">
      <c r="A57" s="286"/>
      <c r="B57" s="803"/>
      <c r="C57" s="803"/>
      <c r="D57" s="803"/>
      <c r="E57" s="803"/>
      <c r="F57" s="803"/>
      <c r="G57" s="803"/>
      <c r="H57" s="803"/>
      <c r="I57" s="803"/>
      <c r="J57" s="803"/>
      <c r="K57" s="803"/>
      <c r="L57" s="803"/>
      <c r="M57" s="803"/>
      <c r="N57" s="803"/>
      <c r="O57" s="803"/>
      <c r="P57" s="803"/>
      <c r="Q57" s="803"/>
      <c r="R57" s="803"/>
      <c r="S57" s="803"/>
      <c r="T57" s="803"/>
      <c r="U57" s="803"/>
      <c r="V57" s="803"/>
      <c r="W57" s="803"/>
      <c r="X57" s="803"/>
      <c r="Y57" s="803"/>
      <c r="Z57" s="803"/>
    </row>
    <row r="58" spans="1:26" ht="18" hidden="1" customHeight="1">
      <c r="A58" s="286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3"/>
      <c r="P58" s="803"/>
      <c r="Q58" s="803"/>
      <c r="R58" s="803"/>
      <c r="S58" s="803"/>
      <c r="T58" s="803"/>
      <c r="U58" s="803"/>
      <c r="V58" s="803"/>
      <c r="W58" s="803"/>
      <c r="X58" s="803"/>
      <c r="Y58" s="803"/>
      <c r="Z58" s="803"/>
    </row>
    <row r="59" spans="1:26" ht="18" hidden="1" customHeight="1">
      <c r="A59" s="286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3"/>
      <c r="P59" s="803"/>
      <c r="Q59" s="803"/>
      <c r="R59" s="803"/>
      <c r="S59" s="803"/>
      <c r="T59" s="803"/>
      <c r="U59" s="803"/>
      <c r="V59" s="803"/>
      <c r="W59" s="803"/>
      <c r="X59" s="803"/>
      <c r="Y59" s="803"/>
      <c r="Z59" s="803"/>
    </row>
    <row r="60" spans="1:26" ht="18" hidden="1" customHeight="1">
      <c r="A60" s="286"/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</row>
    <row r="61" spans="1:26" ht="18" hidden="1" customHeight="1">
      <c r="A61" s="286"/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</row>
    <row r="62" spans="1:26" ht="18" hidden="1" customHeight="1">
      <c r="A62" s="286"/>
      <c r="B62" s="803"/>
      <c r="C62" s="803"/>
      <c r="D62" s="803"/>
      <c r="E62" s="803"/>
      <c r="F62" s="803"/>
      <c r="G62" s="803"/>
      <c r="H62" s="803"/>
      <c r="I62" s="803"/>
      <c r="J62" s="803"/>
      <c r="K62" s="803"/>
      <c r="L62" s="803"/>
      <c r="M62" s="803"/>
      <c r="N62" s="803"/>
      <c r="O62" s="803"/>
      <c r="P62" s="803"/>
      <c r="Q62" s="803"/>
      <c r="R62" s="803"/>
      <c r="S62" s="803"/>
      <c r="T62" s="803"/>
      <c r="U62" s="803"/>
      <c r="V62" s="803"/>
      <c r="W62" s="803"/>
      <c r="X62" s="803"/>
      <c r="Y62" s="803"/>
      <c r="Z62" s="803"/>
    </row>
    <row r="63" spans="1:26" ht="18" hidden="1" customHeight="1">
      <c r="A63" s="286"/>
      <c r="B63" s="803"/>
      <c r="C63" s="803"/>
      <c r="D63" s="803"/>
      <c r="E63" s="803"/>
      <c r="F63" s="803"/>
      <c r="G63" s="803"/>
      <c r="H63" s="803"/>
      <c r="I63" s="803"/>
      <c r="J63" s="803"/>
      <c r="K63" s="803"/>
      <c r="L63" s="803"/>
      <c r="M63" s="803"/>
      <c r="N63" s="803"/>
      <c r="O63" s="803"/>
      <c r="P63" s="803"/>
      <c r="Q63" s="803"/>
      <c r="R63" s="803"/>
      <c r="S63" s="803"/>
      <c r="T63" s="803"/>
      <c r="U63" s="803"/>
      <c r="V63" s="803"/>
      <c r="W63" s="803"/>
      <c r="X63" s="803"/>
      <c r="Y63" s="803"/>
      <c r="Z63" s="803"/>
    </row>
    <row r="64" spans="1:26" ht="18" hidden="1" customHeight="1">
      <c r="A64" s="286"/>
      <c r="B64" s="803"/>
      <c r="C64" s="803"/>
      <c r="D64" s="803"/>
      <c r="E64" s="803"/>
      <c r="F64" s="803"/>
      <c r="G64" s="803"/>
      <c r="H64" s="803"/>
      <c r="I64" s="803"/>
      <c r="J64" s="803"/>
      <c r="K64" s="803"/>
      <c r="L64" s="803"/>
      <c r="M64" s="803"/>
      <c r="N64" s="803"/>
      <c r="O64" s="803"/>
      <c r="P64" s="803"/>
      <c r="Q64" s="803"/>
      <c r="R64" s="803"/>
      <c r="S64" s="803"/>
      <c r="T64" s="803"/>
      <c r="U64" s="803"/>
      <c r="V64" s="803"/>
      <c r="W64" s="803"/>
      <c r="X64" s="803"/>
      <c r="Y64" s="803"/>
      <c r="Z64" s="803"/>
    </row>
    <row r="65" spans="1:26" ht="18" hidden="1" customHeight="1">
      <c r="A65" s="286"/>
      <c r="B65" s="803"/>
      <c r="C65" s="803"/>
      <c r="D65" s="803"/>
      <c r="E65" s="803"/>
      <c r="F65" s="803"/>
      <c r="G65" s="803"/>
      <c r="H65" s="803"/>
      <c r="I65" s="803"/>
      <c r="J65" s="803"/>
      <c r="K65" s="803"/>
      <c r="L65" s="803"/>
      <c r="M65" s="803"/>
      <c r="N65" s="803"/>
      <c r="O65" s="803"/>
      <c r="P65" s="803"/>
      <c r="Q65" s="803"/>
      <c r="R65" s="803"/>
      <c r="S65" s="803"/>
      <c r="T65" s="803"/>
      <c r="U65" s="803"/>
      <c r="V65" s="803"/>
      <c r="W65" s="803"/>
      <c r="X65" s="803"/>
      <c r="Y65" s="803"/>
      <c r="Z65" s="803"/>
    </row>
    <row r="66" spans="1:26" ht="18" hidden="1" customHeight="1">
      <c r="A66" s="286"/>
      <c r="B66" s="803"/>
      <c r="C66" s="803"/>
      <c r="D66" s="803"/>
      <c r="E66" s="803"/>
      <c r="F66" s="803"/>
      <c r="G66" s="803"/>
      <c r="H66" s="803"/>
      <c r="I66" s="803"/>
      <c r="J66" s="803"/>
      <c r="K66" s="803"/>
      <c r="L66" s="803"/>
      <c r="M66" s="803"/>
      <c r="N66" s="803"/>
      <c r="O66" s="803"/>
      <c r="P66" s="803"/>
      <c r="Q66" s="803"/>
      <c r="R66" s="803"/>
      <c r="S66" s="803"/>
      <c r="T66" s="803"/>
      <c r="U66" s="803"/>
      <c r="V66" s="803"/>
      <c r="W66" s="803"/>
      <c r="X66" s="803"/>
      <c r="Y66" s="803"/>
      <c r="Z66" s="803"/>
    </row>
    <row r="67" spans="1:26" ht="18" hidden="1" customHeight="1">
      <c r="A67" s="286"/>
      <c r="B67" s="803"/>
      <c r="C67" s="803"/>
      <c r="D67" s="803"/>
      <c r="E67" s="803"/>
      <c r="F67" s="803"/>
      <c r="G67" s="803"/>
      <c r="H67" s="803"/>
      <c r="I67" s="803"/>
      <c r="J67" s="803"/>
      <c r="K67" s="803"/>
      <c r="L67" s="803"/>
      <c r="M67" s="803"/>
      <c r="N67" s="803"/>
      <c r="O67" s="803"/>
      <c r="P67" s="803"/>
      <c r="Q67" s="803"/>
      <c r="R67" s="803"/>
      <c r="S67" s="803"/>
      <c r="T67" s="803"/>
      <c r="U67" s="803"/>
      <c r="V67" s="803"/>
      <c r="W67" s="803"/>
      <c r="X67" s="803"/>
      <c r="Y67" s="803"/>
      <c r="Z67" s="803"/>
    </row>
    <row r="68" spans="1:26" ht="18" hidden="1" customHeight="1">
      <c r="A68" s="286"/>
      <c r="B68" s="803"/>
      <c r="C68" s="803"/>
      <c r="D68" s="803"/>
      <c r="E68" s="803"/>
      <c r="F68" s="803"/>
      <c r="G68" s="803"/>
      <c r="H68" s="803"/>
      <c r="I68" s="803"/>
      <c r="J68" s="803"/>
      <c r="K68" s="803"/>
      <c r="L68" s="803"/>
      <c r="M68" s="803"/>
      <c r="N68" s="803"/>
      <c r="O68" s="803"/>
      <c r="P68" s="803"/>
      <c r="Q68" s="803"/>
      <c r="R68" s="803"/>
      <c r="S68" s="803"/>
      <c r="T68" s="803"/>
      <c r="U68" s="803"/>
      <c r="V68" s="803"/>
      <c r="W68" s="803"/>
      <c r="X68" s="803"/>
      <c r="Y68" s="803"/>
      <c r="Z68" s="803"/>
    </row>
    <row r="69" spans="1:26" ht="18" hidden="1" customHeight="1">
      <c r="A69" s="286"/>
      <c r="B69" s="803"/>
      <c r="C69" s="803"/>
      <c r="D69" s="803"/>
      <c r="E69" s="803"/>
      <c r="F69" s="803"/>
      <c r="G69" s="803"/>
      <c r="H69" s="803"/>
      <c r="I69" s="803"/>
      <c r="J69" s="803"/>
      <c r="K69" s="803"/>
      <c r="L69" s="803"/>
      <c r="M69" s="803"/>
      <c r="N69" s="803"/>
      <c r="O69" s="803"/>
      <c r="P69" s="803"/>
      <c r="Q69" s="803"/>
      <c r="R69" s="803"/>
      <c r="S69" s="803"/>
      <c r="T69" s="803"/>
      <c r="U69" s="803"/>
      <c r="V69" s="803"/>
      <c r="W69" s="803"/>
      <c r="X69" s="803"/>
      <c r="Y69" s="803"/>
      <c r="Z69" s="803"/>
    </row>
    <row r="70" spans="1:26" ht="18" hidden="1" customHeight="1">
      <c r="A70" s="286"/>
      <c r="B70" s="803"/>
      <c r="C70" s="803"/>
      <c r="D70" s="803"/>
      <c r="E70" s="803"/>
      <c r="F70" s="803"/>
      <c r="G70" s="803"/>
      <c r="H70" s="803"/>
      <c r="I70" s="803"/>
      <c r="J70" s="803"/>
      <c r="K70" s="803"/>
      <c r="L70" s="803"/>
      <c r="M70" s="803"/>
      <c r="N70" s="803"/>
      <c r="O70" s="803"/>
      <c r="P70" s="803"/>
      <c r="Q70" s="803"/>
      <c r="R70" s="803"/>
      <c r="S70" s="803"/>
      <c r="T70" s="803"/>
      <c r="U70" s="803"/>
      <c r="V70" s="803"/>
      <c r="W70" s="803"/>
      <c r="X70" s="803"/>
      <c r="Y70" s="803"/>
      <c r="Z70" s="803"/>
    </row>
    <row r="71" spans="1:26" ht="18" hidden="1" customHeight="1">
      <c r="A71" s="286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3"/>
      <c r="P71" s="803"/>
      <c r="Q71" s="803"/>
      <c r="R71" s="803"/>
      <c r="S71" s="803"/>
      <c r="T71" s="803"/>
      <c r="U71" s="803"/>
      <c r="V71" s="803"/>
      <c r="W71" s="803"/>
      <c r="X71" s="803"/>
      <c r="Y71" s="803"/>
      <c r="Z71" s="803"/>
    </row>
    <row r="72" spans="1:26" ht="18" hidden="1" customHeight="1">
      <c r="A72" s="286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3"/>
      <c r="P72" s="803"/>
      <c r="Q72" s="803"/>
      <c r="R72" s="803"/>
      <c r="S72" s="803"/>
      <c r="T72" s="803"/>
      <c r="U72" s="803"/>
      <c r="V72" s="803"/>
      <c r="W72" s="803"/>
      <c r="X72" s="803"/>
      <c r="Y72" s="803"/>
      <c r="Z72" s="803"/>
    </row>
    <row r="73" spans="1:26" ht="18" hidden="1" customHeight="1">
      <c r="A73" s="286"/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</row>
    <row r="74" spans="1:26" ht="18" hidden="1" customHeight="1">
      <c r="A74" s="286"/>
      <c r="B74" s="803"/>
      <c r="C74" s="803"/>
      <c r="D74" s="803"/>
      <c r="E74" s="803"/>
      <c r="F74" s="803"/>
      <c r="G74" s="803"/>
      <c r="H74" s="803"/>
      <c r="I74" s="803"/>
      <c r="J74" s="803"/>
      <c r="K74" s="803"/>
      <c r="L74" s="803"/>
      <c r="M74" s="803"/>
      <c r="N74" s="803"/>
      <c r="O74" s="803"/>
      <c r="P74" s="803"/>
      <c r="Q74" s="803"/>
      <c r="R74" s="803"/>
      <c r="S74" s="803"/>
      <c r="T74" s="803"/>
      <c r="U74" s="803"/>
      <c r="V74" s="803"/>
      <c r="W74" s="803"/>
      <c r="X74" s="803"/>
      <c r="Y74" s="803"/>
      <c r="Z74" s="803"/>
    </row>
    <row r="75" spans="1:26" ht="18" hidden="1" customHeight="1">
      <c r="A75" s="286"/>
      <c r="B75" s="803"/>
      <c r="C75" s="803"/>
      <c r="D75" s="803"/>
      <c r="E75" s="803"/>
      <c r="F75" s="803"/>
      <c r="G75" s="803"/>
      <c r="H75" s="803"/>
      <c r="I75" s="803"/>
      <c r="J75" s="803"/>
      <c r="K75" s="803"/>
      <c r="L75" s="803"/>
      <c r="M75" s="803"/>
      <c r="N75" s="803"/>
      <c r="O75" s="803"/>
      <c r="P75" s="803"/>
      <c r="Q75" s="803"/>
      <c r="R75" s="803"/>
      <c r="S75" s="803"/>
      <c r="T75" s="803"/>
      <c r="U75" s="803"/>
      <c r="V75" s="803"/>
      <c r="W75" s="803"/>
      <c r="X75" s="803"/>
      <c r="Y75" s="803"/>
      <c r="Z75" s="803"/>
    </row>
    <row r="76" spans="1:26" ht="18" hidden="1" customHeight="1">
      <c r="A76" s="286"/>
      <c r="B76" s="803"/>
      <c r="C76" s="803"/>
      <c r="D76" s="803"/>
      <c r="E76" s="803"/>
      <c r="F76" s="803"/>
      <c r="G76" s="803"/>
      <c r="H76" s="803"/>
      <c r="I76" s="803"/>
      <c r="J76" s="803"/>
      <c r="K76" s="803"/>
      <c r="L76" s="803"/>
      <c r="M76" s="803"/>
      <c r="N76" s="803"/>
      <c r="O76" s="803"/>
      <c r="P76" s="803"/>
      <c r="Q76" s="803"/>
      <c r="R76" s="803"/>
      <c r="S76" s="803"/>
      <c r="T76" s="803"/>
      <c r="U76" s="803"/>
      <c r="V76" s="803"/>
      <c r="W76" s="803"/>
      <c r="X76" s="803"/>
      <c r="Y76" s="803"/>
      <c r="Z76" s="803"/>
    </row>
    <row r="77" spans="1:26" ht="18" hidden="1" customHeight="1">
      <c r="A77" s="286"/>
      <c r="B77" s="803"/>
      <c r="C77" s="803"/>
      <c r="D77" s="803"/>
      <c r="E77" s="803"/>
      <c r="F77" s="803"/>
      <c r="G77" s="803"/>
      <c r="H77" s="803"/>
      <c r="I77" s="803"/>
      <c r="J77" s="803"/>
      <c r="K77" s="803"/>
      <c r="L77" s="803"/>
      <c r="M77" s="803"/>
      <c r="N77" s="803"/>
      <c r="O77" s="803"/>
      <c r="P77" s="803"/>
      <c r="Q77" s="803"/>
      <c r="R77" s="803"/>
      <c r="S77" s="803"/>
      <c r="T77" s="803"/>
      <c r="U77" s="803"/>
      <c r="V77" s="803"/>
      <c r="W77" s="803"/>
      <c r="X77" s="803"/>
      <c r="Y77" s="803"/>
      <c r="Z77" s="803"/>
    </row>
    <row r="78" spans="1:26" ht="18" hidden="1" customHeight="1">
      <c r="A78" s="286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3"/>
      <c r="P78" s="803"/>
      <c r="Q78" s="803"/>
      <c r="R78" s="803"/>
      <c r="S78" s="803"/>
      <c r="T78" s="803"/>
      <c r="U78" s="803"/>
      <c r="V78" s="803"/>
      <c r="W78" s="803"/>
      <c r="X78" s="803"/>
      <c r="Y78" s="803"/>
      <c r="Z78" s="803"/>
    </row>
    <row r="79" spans="1:26" ht="18" hidden="1" customHeight="1">
      <c r="A79" s="286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</row>
    <row r="80" spans="1:26" ht="18" hidden="1" customHeight="1">
      <c r="A80" s="286"/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</row>
    <row r="81" spans="1:26" ht="18" hidden="1" customHeight="1">
      <c r="A81" s="286"/>
      <c r="B81" s="803"/>
      <c r="C81" s="803"/>
      <c r="D81" s="803"/>
      <c r="E81" s="803"/>
      <c r="F81" s="803"/>
      <c r="G81" s="803"/>
      <c r="H81" s="803"/>
      <c r="I81" s="803"/>
      <c r="J81" s="803"/>
      <c r="K81" s="803"/>
      <c r="L81" s="803"/>
      <c r="M81" s="803"/>
      <c r="N81" s="803"/>
      <c r="O81" s="803"/>
      <c r="P81" s="803"/>
      <c r="Q81" s="803"/>
      <c r="R81" s="803"/>
      <c r="S81" s="803"/>
      <c r="T81" s="803"/>
      <c r="U81" s="803"/>
      <c r="V81" s="803"/>
      <c r="W81" s="803"/>
      <c r="X81" s="803"/>
      <c r="Y81" s="803"/>
      <c r="Z81" s="803"/>
    </row>
    <row r="82" spans="1:26" ht="18" hidden="1" customHeight="1">
      <c r="A82" s="286"/>
      <c r="B82" s="803"/>
      <c r="C82" s="803"/>
      <c r="D82" s="803"/>
      <c r="E82" s="803"/>
      <c r="F82" s="803"/>
      <c r="G82" s="803"/>
      <c r="H82" s="803"/>
      <c r="I82" s="803"/>
      <c r="J82" s="803"/>
      <c r="K82" s="803"/>
      <c r="L82" s="803"/>
      <c r="M82" s="803"/>
      <c r="N82" s="803"/>
      <c r="O82" s="803"/>
      <c r="P82" s="803"/>
      <c r="Q82" s="803"/>
      <c r="R82" s="803"/>
      <c r="S82" s="803"/>
      <c r="T82" s="803"/>
      <c r="U82" s="803"/>
      <c r="V82" s="803"/>
      <c r="W82" s="803"/>
      <c r="X82" s="803"/>
      <c r="Y82" s="803"/>
      <c r="Z82" s="803"/>
    </row>
    <row r="83" spans="1:26" ht="18" hidden="1" customHeight="1">
      <c r="A83" s="286"/>
      <c r="B83" s="803"/>
      <c r="C83" s="803"/>
      <c r="D83" s="803"/>
      <c r="E83" s="803"/>
      <c r="F83" s="803"/>
      <c r="G83" s="803"/>
      <c r="H83" s="803"/>
      <c r="I83" s="803"/>
      <c r="J83" s="803"/>
      <c r="K83" s="803"/>
      <c r="L83" s="803"/>
      <c r="M83" s="803"/>
      <c r="N83" s="803"/>
      <c r="O83" s="803"/>
      <c r="P83" s="803"/>
      <c r="Q83" s="803"/>
      <c r="R83" s="803"/>
      <c r="S83" s="803"/>
      <c r="T83" s="803"/>
      <c r="U83" s="803"/>
      <c r="V83" s="803"/>
      <c r="W83" s="803"/>
      <c r="X83" s="803"/>
      <c r="Y83" s="803"/>
      <c r="Z83" s="803"/>
    </row>
    <row r="84" spans="1:26" ht="18" hidden="1" customHeight="1">
      <c r="A84" s="286"/>
      <c r="B84" s="803"/>
      <c r="C84" s="803"/>
      <c r="D84" s="803"/>
      <c r="E84" s="803"/>
      <c r="F84" s="803"/>
      <c r="G84" s="803"/>
      <c r="H84" s="803"/>
      <c r="I84" s="803"/>
      <c r="J84" s="803"/>
      <c r="K84" s="803"/>
      <c r="L84" s="803"/>
      <c r="M84" s="803"/>
      <c r="N84" s="803"/>
      <c r="O84" s="803"/>
      <c r="P84" s="803"/>
      <c r="Q84" s="803"/>
      <c r="R84" s="803"/>
      <c r="S84" s="803"/>
      <c r="T84" s="803"/>
      <c r="U84" s="803"/>
      <c r="V84" s="803"/>
      <c r="W84" s="803"/>
      <c r="X84" s="803"/>
      <c r="Y84" s="803"/>
      <c r="Z84" s="803"/>
    </row>
    <row r="85" spans="1:26" ht="18" hidden="1" customHeight="1">
      <c r="A85" s="286"/>
      <c r="B85" s="803"/>
      <c r="C85" s="803"/>
      <c r="D85" s="803"/>
      <c r="E85" s="803"/>
      <c r="F85" s="803"/>
      <c r="G85" s="803"/>
      <c r="H85" s="803"/>
      <c r="I85" s="803"/>
      <c r="J85" s="803"/>
      <c r="K85" s="803"/>
      <c r="L85" s="803"/>
      <c r="M85" s="803"/>
      <c r="N85" s="803"/>
      <c r="O85" s="803"/>
      <c r="P85" s="803"/>
      <c r="Q85" s="803"/>
      <c r="R85" s="803"/>
      <c r="S85" s="803"/>
      <c r="T85" s="803"/>
      <c r="U85" s="803"/>
      <c r="V85" s="803"/>
      <c r="W85" s="803"/>
      <c r="X85" s="803"/>
      <c r="Y85" s="803"/>
      <c r="Z85" s="803"/>
    </row>
    <row r="86" spans="1:26" ht="18" hidden="1" customHeight="1">
      <c r="A86" s="286"/>
      <c r="B86" s="803"/>
      <c r="C86" s="803"/>
      <c r="D86" s="803"/>
      <c r="E86" s="803"/>
      <c r="F86" s="803"/>
      <c r="G86" s="803"/>
      <c r="H86" s="803"/>
      <c r="I86" s="803"/>
      <c r="J86" s="803"/>
      <c r="K86" s="803"/>
      <c r="L86" s="803"/>
      <c r="M86" s="803"/>
      <c r="N86" s="803"/>
      <c r="O86" s="803"/>
      <c r="P86" s="803"/>
      <c r="Q86" s="803"/>
      <c r="R86" s="803"/>
      <c r="S86" s="803"/>
      <c r="T86" s="803"/>
      <c r="U86" s="803"/>
      <c r="V86" s="803"/>
      <c r="W86" s="803"/>
      <c r="X86" s="803"/>
      <c r="Y86" s="803"/>
      <c r="Z86" s="803"/>
    </row>
    <row r="87" spans="1:26" ht="0" hidden="1" customHeight="1">
      <c r="A87" s="286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3"/>
      <c r="P87" s="803"/>
      <c r="Q87" s="803"/>
      <c r="R87" s="803"/>
      <c r="S87" s="803"/>
      <c r="T87" s="803"/>
      <c r="U87" s="803"/>
      <c r="V87" s="803"/>
      <c r="W87" s="803"/>
      <c r="X87" s="803"/>
      <c r="Y87" s="803"/>
      <c r="Z87" s="803"/>
    </row>
  </sheetData>
  <mergeCells count="86">
    <mergeCell ref="U7:X7"/>
    <mergeCell ref="D7:T7"/>
    <mergeCell ref="P10:Q10"/>
    <mergeCell ref="Q19:U20"/>
    <mergeCell ref="Q21:U21"/>
    <mergeCell ref="F13:K13"/>
    <mergeCell ref="Q13:R13"/>
    <mergeCell ref="S13:X13"/>
    <mergeCell ref="D8:Y8"/>
    <mergeCell ref="E9:I9"/>
    <mergeCell ref="K9:M9"/>
    <mergeCell ref="S9:T9"/>
    <mergeCell ref="U9:Y9"/>
    <mergeCell ref="F10:I10"/>
    <mergeCell ref="L10:M10"/>
    <mergeCell ref="R10:T10"/>
    <mergeCell ref="V6:Y6"/>
    <mergeCell ref="B1:Y1"/>
    <mergeCell ref="E2:I2"/>
    <mergeCell ref="J2:S2"/>
    <mergeCell ref="X2:Y3"/>
    <mergeCell ref="N4:S4"/>
    <mergeCell ref="T4:U4"/>
    <mergeCell ref="V4:Y4"/>
    <mergeCell ref="AB4:AB5"/>
    <mergeCell ref="N5:O5"/>
    <mergeCell ref="P5:S5"/>
    <mergeCell ref="T5:U5"/>
    <mergeCell ref="V5:Y5"/>
    <mergeCell ref="U10:Y10"/>
    <mergeCell ref="U11:Y11"/>
    <mergeCell ref="F14:G14"/>
    <mergeCell ref="H14:K14"/>
    <mergeCell ref="Q14:R14"/>
    <mergeCell ref="S14:X14"/>
    <mergeCell ref="F15:K15"/>
    <mergeCell ref="G19:K19"/>
    <mergeCell ref="L19:N19"/>
    <mergeCell ref="D20:G20"/>
    <mergeCell ref="H20:K20"/>
    <mergeCell ref="L20:M20"/>
    <mergeCell ref="B21:P21"/>
    <mergeCell ref="AA16:AA17"/>
    <mergeCell ref="AB16:AB17"/>
    <mergeCell ref="H17:K17"/>
    <mergeCell ref="R17:X17"/>
    <mergeCell ref="V18:Y18"/>
    <mergeCell ref="F16:K16"/>
    <mergeCell ref="Q16:R16"/>
    <mergeCell ref="S16:X16"/>
    <mergeCell ref="E18:K18"/>
    <mergeCell ref="N27:P27"/>
    <mergeCell ref="Q27:S27"/>
    <mergeCell ref="T27:V27"/>
    <mergeCell ref="T28:V28"/>
    <mergeCell ref="W28:Y28"/>
    <mergeCell ref="N28:P28"/>
    <mergeCell ref="Q28:S28"/>
    <mergeCell ref="W27:Y27"/>
    <mergeCell ref="B29:D29"/>
    <mergeCell ref="E29:G29"/>
    <mergeCell ref="H29:J29"/>
    <mergeCell ref="K29:M29"/>
    <mergeCell ref="B28:D28"/>
    <mergeCell ref="E28:G28"/>
    <mergeCell ref="H28:J28"/>
    <mergeCell ref="K28:M28"/>
    <mergeCell ref="U37:X37"/>
    <mergeCell ref="B30:D31"/>
    <mergeCell ref="T34:V34"/>
    <mergeCell ref="W34:Y34"/>
    <mergeCell ref="Z34:AB34"/>
    <mergeCell ref="T35:V35"/>
    <mergeCell ref="W35:Y35"/>
    <mergeCell ref="E37:G37"/>
    <mergeCell ref="H37:J37"/>
    <mergeCell ref="K37:L37"/>
    <mergeCell ref="N37:Q37"/>
    <mergeCell ref="R37:T37"/>
    <mergeCell ref="U38:X38"/>
    <mergeCell ref="B38:D38"/>
    <mergeCell ref="E38:G38"/>
    <mergeCell ref="H38:J38"/>
    <mergeCell ref="K38:L38"/>
    <mergeCell ref="N38:Q38"/>
    <mergeCell ref="R38:T38"/>
  </mergeCells>
  <phoneticPr fontId="5" type="noConversion"/>
  <conditionalFormatting sqref="AB4">
    <cfRule type="containsText" dxfId="2" priority="9" operator="containsText" text="임직원">
      <formula>NOT(ISERROR(SEARCH("임직원",AB4)))</formula>
    </cfRule>
    <cfRule type="containsText" dxfId="1" priority="10" operator="containsText" text="임직원원">
      <formula>NOT(ISERROR(SEARCH("임직원원",AB4)))</formula>
    </cfRule>
    <cfRule type="containsText" dxfId="0" priority="11" operator="containsText" text="임직원원">
      <formula>NOT(ISERROR(SEARCH("임직원원",AB4)))</formula>
    </cfRule>
  </conditionalFormatting>
  <printOptions horizontalCentered="1" verticalCentered="1"/>
  <pageMargins left="0.62992125984251968" right="0.59055118110236227" top="0.47244094488188981" bottom="0.55118110236220474" header="0.31496062992125984" footer="0.31496062992125984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18</xdr:col>
                    <xdr:colOff>123825</xdr:colOff>
                    <xdr:row>0</xdr:row>
                    <xdr:rowOff>85725</xdr:rowOff>
                  </from>
                  <to>
                    <xdr:col>19</xdr:col>
                    <xdr:colOff>85725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19</xdr:col>
                    <xdr:colOff>352425</xdr:colOff>
                    <xdr:row>17</xdr:row>
                    <xdr:rowOff>171450</xdr:rowOff>
                  </from>
                  <to>
                    <xdr:col>20</xdr:col>
                    <xdr:colOff>180975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92C6DF5-42CC-4F08-A0CA-5A96E061352E}">
            <xm:f>렌터카견적내기!$AO$13</xm:f>
            <x14:dxf>
              <font>
                <b/>
                <i val="0"/>
              </font>
            </x14:dxf>
          </x14:cfRule>
          <xm:sqref>B38:D38</xm:sqref>
        </x14:conditionalFormatting>
        <x14:conditionalFormatting xmlns:xm="http://schemas.microsoft.com/office/excel/2006/main">
          <x14:cfRule type="expression" priority="7" id="{F1EBB046-1048-477B-8673-F7E273FC9D84}">
            <xm:f>렌터카견적내기!$AU$16</xm:f>
            <x14:dxf>
              <font>
                <color auto="1"/>
              </font>
            </x14:dxf>
          </x14:cfRule>
          <xm:sqref>B17:Y17</xm:sqref>
        </x14:conditionalFormatting>
        <x14:conditionalFormatting xmlns:xm="http://schemas.microsoft.com/office/excel/2006/main">
          <x14:cfRule type="expression" priority="8" id="{3D0B3039-BDF3-456B-95D0-F3F8557C7A6E}">
            <xm:f>렌터카견적내기!$AO$11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B22:Y22</xm:sqref>
        </x14:conditionalFormatting>
        <x14:conditionalFormatting xmlns:xm="http://schemas.microsoft.com/office/excel/2006/main">
          <x14:cfRule type="expression" priority="3" id="{431E64EA-5806-41E8-AAF6-69505797AC39}">
            <xm:f>렌터카견적내기!$AO$13</xm:f>
            <x14:dxf>
              <fill>
                <patternFill>
                  <bgColor theme="5" tint="0.79998168889431442"/>
                </patternFill>
              </fill>
            </x14:dxf>
          </x14:cfRule>
          <xm:sqref>B37:Y37</xm:sqref>
        </x14:conditionalFormatting>
        <x14:conditionalFormatting xmlns:xm="http://schemas.microsoft.com/office/excel/2006/main">
          <x14:cfRule type="expression" priority="6" id="{39CA9FDD-2898-461D-9884-7FD7A5A7096C}">
            <xm:f>렌터카견적내기!$AO$13</xm:f>
            <x14:dxf>
              <font>
                <b val="0"/>
                <i val="0"/>
                <color auto="1"/>
              </font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B37:Y38</xm:sqref>
        </x14:conditionalFormatting>
        <x14:conditionalFormatting xmlns:xm="http://schemas.microsoft.com/office/excel/2006/main">
          <x14:cfRule type="expression" priority="5" id="{039C61E7-C3EB-4E20-90BD-90D60690BA28}">
            <xm:f>렌터카견적내기!$AO$13</xm:f>
            <x14:dxf>
              <border>
                <top style="dotted">
                  <color auto="1"/>
                </top>
              </border>
            </x14:dxf>
          </x14:cfRule>
          <xm:sqref>B38:Y38</xm:sqref>
        </x14:conditionalFormatting>
        <x14:conditionalFormatting xmlns:xm="http://schemas.microsoft.com/office/excel/2006/main">
          <x14:cfRule type="expression" priority="1" id="{3FAB450B-D1F2-4AA7-9AE0-484E96647342}">
            <xm:f>렌터카견적내기!$AO$15</xm:f>
            <x14:dxf>
              <border>
                <left style="hair">
                  <color auto="1"/>
                </left>
                <right style="hair">
                  <color auto="1"/>
                </right>
                <vertical/>
                <horizontal/>
              </border>
            </x14:dxf>
          </x14:cfRule>
          <xm:sqref>U7:X7</xm:sqref>
        </x14:conditionalFormatting>
        <x14:conditionalFormatting xmlns:xm="http://schemas.microsoft.com/office/excel/2006/main">
          <x14:cfRule type="expression" priority="2" id="{340B4710-BE31-4479-8DB8-B3CE081D4566}">
            <xm:f>렌터카견적내기!$AO$14</xm:f>
            <x14:dxf>
              <border>
                <left/>
                <right/>
                <top/>
                <bottom/>
              </border>
            </x14:dxf>
          </x14:cfRule>
          <xm:sqref>Z34:AB35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Q278"/>
  <sheetViews>
    <sheetView topLeftCell="AK1" zoomScale="85" zoomScaleNormal="85" workbookViewId="0">
      <selection activeCell="BA7" sqref="BA7"/>
    </sheetView>
  </sheetViews>
  <sheetFormatPr defaultRowHeight="11.25"/>
  <cols>
    <col min="1" max="1" width="6.42578125" style="985" customWidth="1"/>
    <col min="2" max="2" width="10.85546875" style="985" customWidth="1"/>
    <col min="3" max="6" width="9.140625" style="985" customWidth="1"/>
    <col min="7" max="7" width="10.7109375" style="985" customWidth="1"/>
    <col min="8" max="8" width="9.42578125" style="985" customWidth="1"/>
    <col min="9" max="9" width="6.5703125" style="985" customWidth="1"/>
    <col min="10" max="10" width="13.85546875" style="985" customWidth="1"/>
    <col min="11" max="11" width="22.5703125" style="985" customWidth="1"/>
    <col min="12" max="12" width="9.42578125" style="985" customWidth="1"/>
    <col min="13" max="13" width="9.140625" style="985"/>
    <col min="14" max="14" width="18.42578125" style="985" customWidth="1"/>
    <col min="15" max="15" width="26.7109375" style="985" customWidth="1"/>
    <col min="16" max="16" width="9.140625" style="985" customWidth="1"/>
    <col min="17" max="17" width="53.5703125" style="985" customWidth="1"/>
    <col min="18" max="18" width="20.42578125" style="985" customWidth="1"/>
    <col min="19" max="24" width="9.140625" style="985" customWidth="1"/>
    <col min="25" max="27" width="9.140625" style="461" customWidth="1"/>
    <col min="28" max="28" width="12.28515625" style="985" customWidth="1"/>
    <col min="29" max="32" width="9.140625" style="985" customWidth="1"/>
    <col min="33" max="33" width="6.42578125" style="985" customWidth="1"/>
    <col min="34" max="34" width="4.7109375" style="985" customWidth="1"/>
    <col min="35" max="35" width="9.5703125" style="985" customWidth="1"/>
    <col min="36" max="36" width="17.42578125" style="985" customWidth="1"/>
    <col min="37" max="37" width="4" style="985" customWidth="1"/>
    <col min="38" max="38" width="9.140625" style="985" customWidth="1"/>
    <col min="39" max="39" width="43.42578125" style="279" customWidth="1"/>
    <col min="40" max="40" width="11.5703125" style="985" customWidth="1"/>
    <col min="41" max="41" width="5" style="985" customWidth="1"/>
    <col min="42" max="42" width="5.140625" style="985" customWidth="1"/>
    <col min="43" max="43" width="5.42578125" style="985" customWidth="1"/>
    <col min="44" max="44" width="6.5703125" style="985" customWidth="1"/>
    <col min="45" max="45" width="8.28515625" style="985" customWidth="1"/>
    <col min="46" max="46" width="6.7109375" style="985" customWidth="1"/>
    <col min="47" max="47" width="6.5703125" style="985" customWidth="1"/>
    <col min="48" max="48" width="10.7109375" style="985" customWidth="1"/>
    <col min="49" max="49" width="7.42578125" style="985" customWidth="1"/>
    <col min="50" max="50" width="10.28515625" style="985" customWidth="1"/>
    <col min="51" max="51" width="17.7109375" style="985" customWidth="1"/>
    <col min="52" max="52" width="11.85546875" style="985" customWidth="1"/>
    <col min="53" max="53" width="12" style="985" customWidth="1"/>
    <col min="54" max="54" width="14" style="985" customWidth="1"/>
    <col min="55" max="55" width="9.5703125" style="985" customWidth="1"/>
    <col min="56" max="56" width="13" style="985" customWidth="1"/>
    <col min="57" max="63" width="9.140625" style="985" customWidth="1"/>
    <col min="64" max="64" width="18" style="985" customWidth="1"/>
    <col min="65" max="65" width="16.28515625" style="985" customWidth="1"/>
    <col min="66" max="66" width="15.85546875" style="985" customWidth="1"/>
    <col min="67" max="67" width="9.140625" style="985" customWidth="1"/>
    <col min="68" max="68" width="13.140625" style="985" customWidth="1"/>
    <col min="69" max="69" width="14.7109375" style="985" customWidth="1"/>
    <col min="70" max="16384" width="9.140625" style="461"/>
  </cols>
  <sheetData>
    <row r="1" spans="1:69" customFormat="1" ht="1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493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1130" t="str">
        <f>IF(AX4="전략P","공제조합",IF(AX4="전기","DB손해","KB손보"))</f>
        <v>KB손보</v>
      </c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customFormat="1" ht="1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493">
        <v>1</v>
      </c>
      <c r="AN2" s="493">
        <v>2</v>
      </c>
      <c r="AO2" s="493">
        <v>3</v>
      </c>
      <c r="AP2" s="493">
        <v>4</v>
      </c>
      <c r="AQ2" s="493">
        <v>5</v>
      </c>
      <c r="AR2" s="493">
        <v>6</v>
      </c>
      <c r="AS2" s="493">
        <v>7</v>
      </c>
      <c r="AT2" s="493">
        <v>8</v>
      </c>
      <c r="AU2" s="493">
        <v>9</v>
      </c>
      <c r="AV2" s="493">
        <v>10</v>
      </c>
      <c r="AW2" s="493">
        <v>11</v>
      </c>
      <c r="AX2" s="493">
        <v>12</v>
      </c>
      <c r="AY2" s="493">
        <v>13</v>
      </c>
      <c r="AZ2" s="493">
        <v>14</v>
      </c>
      <c r="BA2" s="493">
        <v>15</v>
      </c>
      <c r="BB2" s="493">
        <v>16</v>
      </c>
      <c r="BC2" s="493">
        <v>17</v>
      </c>
      <c r="BD2" s="493">
        <v>18</v>
      </c>
      <c r="BE2" s="493">
        <v>19</v>
      </c>
      <c r="BF2" s="493">
        <v>20</v>
      </c>
      <c r="BG2" s="493">
        <v>21</v>
      </c>
      <c r="BH2" s="493">
        <v>22</v>
      </c>
      <c r="BI2" s="493">
        <v>23</v>
      </c>
      <c r="BJ2" s="493">
        <v>24</v>
      </c>
      <c r="BK2" s="493">
        <v>25</v>
      </c>
      <c r="BL2" s="493">
        <v>26</v>
      </c>
      <c r="BM2" s="493">
        <v>27</v>
      </c>
      <c r="BN2" s="493">
        <v>28</v>
      </c>
      <c r="BO2" s="493">
        <v>29</v>
      </c>
      <c r="BP2" s="493">
        <v>30</v>
      </c>
      <c r="BQ2" s="493">
        <v>31</v>
      </c>
    </row>
    <row r="3" spans="1:69" s="279" customFormat="1" ht="21" customHeight="1">
      <c r="A3" s="277" t="s">
        <v>431</v>
      </c>
      <c r="B3" s="278" t="s">
        <v>432</v>
      </c>
      <c r="C3" s="278" t="s">
        <v>433</v>
      </c>
      <c r="D3" s="278" t="s">
        <v>434</v>
      </c>
      <c r="E3" s="278" t="s">
        <v>435</v>
      </c>
      <c r="F3" s="278" t="s">
        <v>436</v>
      </c>
      <c r="G3" s="278" t="s">
        <v>437</v>
      </c>
      <c r="H3" s="278" t="s">
        <v>438</v>
      </c>
      <c r="I3" s="278" t="s">
        <v>439</v>
      </c>
      <c r="J3" s="278" t="s">
        <v>440</v>
      </c>
      <c r="K3" s="278" t="s">
        <v>441</v>
      </c>
      <c r="L3" s="278" t="s">
        <v>442</v>
      </c>
      <c r="M3" s="278" t="s">
        <v>93</v>
      </c>
      <c r="N3" s="278" t="s">
        <v>443</v>
      </c>
      <c r="O3" s="278" t="s">
        <v>444</v>
      </c>
      <c r="P3" s="278" t="s">
        <v>445</v>
      </c>
      <c r="Q3" s="278" t="s">
        <v>446</v>
      </c>
      <c r="R3" s="278" t="s">
        <v>447</v>
      </c>
      <c r="S3" s="278" t="s">
        <v>448</v>
      </c>
      <c r="T3" s="278" t="s">
        <v>449</v>
      </c>
      <c r="U3" s="278" t="s">
        <v>450</v>
      </c>
      <c r="V3" s="278" t="s">
        <v>451</v>
      </c>
      <c r="W3" s="278" t="s">
        <v>452</v>
      </c>
      <c r="X3" s="278" t="s">
        <v>453</v>
      </c>
      <c r="Y3" s="278" t="s">
        <v>454</v>
      </c>
      <c r="Z3" s="278" t="s">
        <v>455</v>
      </c>
      <c r="AA3" s="278" t="s">
        <v>456</v>
      </c>
      <c r="AB3" s="278" t="s">
        <v>457</v>
      </c>
      <c r="AC3" s="278" t="s">
        <v>458</v>
      </c>
      <c r="AD3" s="278" t="s">
        <v>459</v>
      </c>
      <c r="AE3" s="278" t="s">
        <v>460</v>
      </c>
      <c r="AF3" s="278" t="s">
        <v>461</v>
      </c>
      <c r="AG3" s="278" t="s">
        <v>462</v>
      </c>
      <c r="AH3" s="278" t="s">
        <v>463</v>
      </c>
      <c r="AI3" s="278" t="s">
        <v>464</v>
      </c>
      <c r="AJ3" s="278" t="s">
        <v>465</v>
      </c>
      <c r="AL3" s="279" t="s">
        <v>466</v>
      </c>
      <c r="AM3" s="1131" t="s">
        <v>90</v>
      </c>
      <c r="AN3" s="280" t="s">
        <v>167</v>
      </c>
      <c r="AO3" s="280" t="s">
        <v>208</v>
      </c>
      <c r="AP3" s="280" t="s">
        <v>421</v>
      </c>
      <c r="AQ3" s="280" t="s">
        <v>236</v>
      </c>
      <c r="AR3" s="280" t="s">
        <v>422</v>
      </c>
      <c r="AS3" s="280" t="s">
        <v>423</v>
      </c>
      <c r="AT3" s="279" t="s">
        <v>211</v>
      </c>
      <c r="AU3" s="279" t="s">
        <v>424</v>
      </c>
      <c r="AV3" s="279" t="s">
        <v>1182</v>
      </c>
      <c r="AW3" s="279" t="s">
        <v>425</v>
      </c>
      <c r="AX3" s="279" t="s">
        <v>426</v>
      </c>
      <c r="AY3" s="458" t="s">
        <v>467</v>
      </c>
      <c r="AZ3" s="279" t="s">
        <v>1186</v>
      </c>
      <c r="BA3" s="279" t="s">
        <v>795</v>
      </c>
      <c r="BB3" s="279" t="s">
        <v>796</v>
      </c>
      <c r="BC3" s="279" t="s">
        <v>1181</v>
      </c>
      <c r="BD3" s="279" t="s">
        <v>1183</v>
      </c>
      <c r="BE3" s="279" t="s">
        <v>469</v>
      </c>
      <c r="BF3" s="279" t="s">
        <v>1185</v>
      </c>
      <c r="BG3" s="279" t="s">
        <v>1736</v>
      </c>
      <c r="BH3" s="279" t="s">
        <v>1737</v>
      </c>
      <c r="BI3" s="279" t="s">
        <v>1994</v>
      </c>
      <c r="BJ3" s="279" t="s">
        <v>468</v>
      </c>
      <c r="BK3" s="279" t="s">
        <v>470</v>
      </c>
      <c r="BL3" s="279" t="s">
        <v>471</v>
      </c>
      <c r="BM3" s="279" t="s">
        <v>1535</v>
      </c>
      <c r="BN3" s="279" t="s">
        <v>1995</v>
      </c>
      <c r="BO3" s="279" t="s">
        <v>1154</v>
      </c>
      <c r="BP3" s="279" t="s">
        <v>143</v>
      </c>
      <c r="BQ3" s="279" t="s">
        <v>1156</v>
      </c>
    </row>
    <row r="4" spans="1:69" s="460" customFormat="1" ht="15" customHeight="1">
      <c r="A4" s="281">
        <v>1</v>
      </c>
      <c r="B4" s="279">
        <v>445581993</v>
      </c>
      <c r="C4" s="279" t="s">
        <v>472</v>
      </c>
      <c r="D4" s="279" t="s">
        <v>473</v>
      </c>
      <c r="E4" s="279" t="s">
        <v>482</v>
      </c>
      <c r="F4" s="279" t="s">
        <v>474</v>
      </c>
      <c r="G4" s="279">
        <v>19970000</v>
      </c>
      <c r="H4" s="279">
        <v>1598</v>
      </c>
      <c r="I4" s="279">
        <v>0</v>
      </c>
      <c r="J4" s="279">
        <v>5</v>
      </c>
      <c r="K4" s="279" t="s">
        <v>475</v>
      </c>
      <c r="L4" s="279">
        <v>0</v>
      </c>
      <c r="M4" s="279" t="s">
        <v>95</v>
      </c>
      <c r="N4" s="279" t="s">
        <v>476</v>
      </c>
      <c r="O4" s="279" t="s">
        <v>950</v>
      </c>
      <c r="P4" s="279" t="s">
        <v>97</v>
      </c>
      <c r="Q4" s="279" t="s">
        <v>1018</v>
      </c>
      <c r="R4" s="279"/>
      <c r="S4" s="279">
        <v>47</v>
      </c>
      <c r="T4" s="279">
        <v>15.3</v>
      </c>
      <c r="U4" s="279" t="s">
        <v>477</v>
      </c>
      <c r="V4" s="279" t="s">
        <v>477</v>
      </c>
      <c r="W4" s="279" t="s">
        <v>473</v>
      </c>
      <c r="X4" s="279" t="s">
        <v>478</v>
      </c>
      <c r="Y4" s="279"/>
      <c r="Z4" s="279"/>
      <c r="AA4" s="279"/>
      <c r="AB4" s="279" t="s">
        <v>479</v>
      </c>
      <c r="AC4" s="279" t="s">
        <v>480</v>
      </c>
      <c r="AD4" s="279" t="s">
        <v>491</v>
      </c>
      <c r="AE4" s="279">
        <v>81993</v>
      </c>
      <c r="AF4" s="279" t="s">
        <v>473</v>
      </c>
      <c r="AG4" s="279"/>
      <c r="AH4" s="279"/>
      <c r="AI4" s="279">
        <v>20230509</v>
      </c>
      <c r="AJ4" s="462" t="s">
        <v>1151</v>
      </c>
      <c r="AK4" s="279"/>
      <c r="AL4" s="279" t="str">
        <f>IF(AB4="Y","단종모델",LEFT(N4,3)&amp;IFERROR(VLOOKUP(LEFT(N4,3)&amp;P4,#REF!,2,0),""))</f>
        <v>HDM</v>
      </c>
      <c r="AM4" s="469" t="str">
        <f t="shared" ref="AM4:AM71" si="0">O4&amp;" "&amp;Q4&amp;" "&amp;R4</f>
        <v xml:space="preserve">아반떼 가솔린 1.6 </v>
      </c>
      <c r="AN4" s="279">
        <f>G4</f>
        <v>19970000</v>
      </c>
      <c r="AO4" s="279">
        <f>H4</f>
        <v>1598</v>
      </c>
      <c r="AP4" s="279" t="str">
        <f>LEFT(K4,1)</f>
        <v>M</v>
      </c>
      <c r="AQ4" s="279">
        <f>J4</f>
        <v>5</v>
      </c>
      <c r="AR4" s="279" t="str">
        <f>RIGHT(D4,2)</f>
        <v>승용</v>
      </c>
      <c r="AS4" s="279" t="str">
        <f>MID(W4,4,3)</f>
        <v>승용</v>
      </c>
      <c r="AT4" s="279" t="str">
        <f t="shared" ref="AT4:AT58" si="1">RIGHT(AC4,2)</f>
        <v>2급</v>
      </c>
      <c r="AU4" s="279" t="str">
        <f t="shared" ref="AU4:AU58" si="2">AB4</f>
        <v>02:울산</v>
      </c>
      <c r="AV4" s="279">
        <f>IF(AND(BE4="기아",AQ4&lt;7),1900,IF(AND(BE4="기아",AQ4&gt;6,AQ4&lt;11),2500,IF(AND(BE4="기아",AQ4&gt;10),3500,IF(AND(BE4="KG모빌리티",AQ4&lt;7),3650,IF(AND(BE4="KG모빌리티",AQ4&gt;6),4300,0)))))</f>
        <v>0</v>
      </c>
      <c r="AW4" s="279" t="str">
        <f t="shared" ref="AW4:AW58" si="3">LEFT(F4,1)</f>
        <v>D</v>
      </c>
      <c r="AX4" s="279" t="str">
        <f>AJ4</f>
        <v>전략</v>
      </c>
      <c r="AY4" s="468">
        <v>0.03</v>
      </c>
      <c r="AZ4" s="468"/>
      <c r="BA4" s="279" t="s">
        <v>1563</v>
      </c>
      <c r="BB4" s="279" t="s">
        <v>1628</v>
      </c>
      <c r="BC4" s="279"/>
      <c r="BD4" s="279" t="s">
        <v>1475</v>
      </c>
      <c r="BE4" s="279" t="str">
        <f t="shared" ref="BE4:BE79" si="4">M4</f>
        <v>현대</v>
      </c>
      <c r="BF4" s="581">
        <v>4.1000000000000002E-2</v>
      </c>
      <c r="BG4" s="281">
        <v>77000</v>
      </c>
      <c r="BH4" s="281">
        <v>301000</v>
      </c>
      <c r="BI4" s="279"/>
      <c r="BJ4" s="279"/>
      <c r="BK4" s="279"/>
      <c r="BL4" s="279"/>
      <c r="BM4" s="279" t="s">
        <v>1547</v>
      </c>
      <c r="BN4" s="279"/>
      <c r="BO4" s="279"/>
      <c r="BP4" s="500">
        <f>IF(AJ4="전략P",0.062,IF(AJ4="전략",0.068,IF(AND(AJ4="전기",LEFT(AM4,2)="레이"),0.145,IF(AJ4="전기",0.065,IF(LEFT(AM4,3)="캐스퍼",0.093,IF(H4&lt;1000,0.145,0.093))))))-IF(BO4&gt;0,BO4%,0%)</f>
        <v>6.8000000000000005E-2</v>
      </c>
      <c r="BQ4" s="973">
        <f>BP4-0.007</f>
        <v>6.1000000000000006E-2</v>
      </c>
    </row>
    <row r="5" spans="1:69" s="460" customFormat="1" ht="15" customHeight="1">
      <c r="A5" s="281">
        <v>2</v>
      </c>
      <c r="B5" s="279">
        <v>445582001</v>
      </c>
      <c r="C5" s="279" t="s">
        <v>472</v>
      </c>
      <c r="D5" s="279" t="s">
        <v>473</v>
      </c>
      <c r="E5" s="279" t="s">
        <v>482</v>
      </c>
      <c r="F5" s="279" t="s">
        <v>474</v>
      </c>
      <c r="G5" s="279">
        <v>32630000</v>
      </c>
      <c r="H5" s="279">
        <v>1580</v>
      </c>
      <c r="I5" s="279">
        <v>0</v>
      </c>
      <c r="J5" s="279">
        <v>5</v>
      </c>
      <c r="K5" s="279" t="s">
        <v>495</v>
      </c>
      <c r="L5" s="279">
        <v>0</v>
      </c>
      <c r="M5" s="279" t="s">
        <v>95</v>
      </c>
      <c r="N5" s="279" t="s">
        <v>476</v>
      </c>
      <c r="O5" s="279" t="s">
        <v>950</v>
      </c>
      <c r="P5" s="279" t="s">
        <v>97</v>
      </c>
      <c r="Q5" s="279" t="s">
        <v>1019</v>
      </c>
      <c r="R5" s="279"/>
      <c r="S5" s="279">
        <v>42</v>
      </c>
      <c r="T5" s="279">
        <v>21.1</v>
      </c>
      <c r="U5" s="279" t="s">
        <v>500</v>
      </c>
      <c r="V5" s="279" t="s">
        <v>500</v>
      </c>
      <c r="W5" s="279" t="s">
        <v>473</v>
      </c>
      <c r="X5" s="279" t="s">
        <v>478</v>
      </c>
      <c r="Y5" s="279"/>
      <c r="Z5" s="279"/>
      <c r="AA5" s="279"/>
      <c r="AB5" s="279" t="s">
        <v>479</v>
      </c>
      <c r="AC5" s="279" t="s">
        <v>480</v>
      </c>
      <c r="AD5" s="279" t="s">
        <v>491</v>
      </c>
      <c r="AE5" s="279">
        <v>82001</v>
      </c>
      <c r="AF5" s="279" t="s">
        <v>473</v>
      </c>
      <c r="AG5" s="279"/>
      <c r="AH5" s="279"/>
      <c r="AI5" s="279">
        <v>20230509</v>
      </c>
      <c r="AJ5" s="462" t="s">
        <v>1151</v>
      </c>
      <c r="AK5" s="279"/>
      <c r="AL5" s="279" t="str">
        <f>IF(AB5="Y","단종모델",LEFT(N5,3)&amp;IFERROR(VLOOKUP(LEFT(N5,3)&amp;P5,#REF!,2,0),""))</f>
        <v>HDM</v>
      </c>
      <c r="AM5" s="469" t="str">
        <f t="shared" si="0"/>
        <v xml:space="preserve">아반떼 가솔린 1.6 하이브리드 </v>
      </c>
      <c r="AN5" s="279">
        <f t="shared" ref="AN5:AN70" si="5">G5</f>
        <v>32630000</v>
      </c>
      <c r="AO5" s="279">
        <f t="shared" ref="AO5:AO70" si="6">H5</f>
        <v>1580</v>
      </c>
      <c r="AP5" s="279" t="str">
        <f t="shared" ref="AP5:AP70" si="7">LEFT(K5,1)</f>
        <v>T</v>
      </c>
      <c r="AQ5" s="279">
        <f t="shared" ref="AQ5:AQ70" si="8">J5</f>
        <v>5</v>
      </c>
      <c r="AR5" s="279" t="str">
        <f t="shared" ref="AR5:AR70" si="9">RIGHT(D5,2)</f>
        <v>승용</v>
      </c>
      <c r="AS5" s="279" t="str">
        <f t="shared" ref="AS5:AS70" si="10">MID(W5,4,3)</f>
        <v>승용</v>
      </c>
      <c r="AT5" s="279" t="str">
        <f t="shared" si="1"/>
        <v>2급</v>
      </c>
      <c r="AU5" s="279" t="str">
        <f t="shared" si="2"/>
        <v>02:울산</v>
      </c>
      <c r="AV5" s="279">
        <f t="shared" ref="AV5:AV81" si="11">IF(AND(BE5="기아",AQ5&lt;7),1900,IF(AND(BE5="기아",AQ5&gt;6,AQ5&lt;11),2500,IF(AND(BE5="기아",AQ5&gt;10),3500,IF(AND(BE5="KG모빌리티",AQ5&lt;7),3650,IF(AND(BE5="KG모빌리티",AQ5&gt;6),4300,0)))))</f>
        <v>0</v>
      </c>
      <c r="AW5" s="279" t="str">
        <f t="shared" si="3"/>
        <v>D</v>
      </c>
      <c r="AX5" s="279" t="str">
        <f t="shared" ref="AX5:AX59" si="12">AJ5</f>
        <v>전략</v>
      </c>
      <c r="AY5" s="468">
        <v>0.03</v>
      </c>
      <c r="AZ5" s="468"/>
      <c r="BA5" s="279" t="s">
        <v>1687</v>
      </c>
      <c r="BB5" s="279" t="s">
        <v>1563</v>
      </c>
      <c r="BC5" s="279"/>
      <c r="BD5" s="279" t="s">
        <v>1474</v>
      </c>
      <c r="BE5" s="279" t="str">
        <f t="shared" si="4"/>
        <v>현대</v>
      </c>
      <c r="BF5" s="581">
        <v>4.1000000000000002E-2</v>
      </c>
      <c r="BG5" s="281">
        <v>77000</v>
      </c>
      <c r="BH5" s="281">
        <v>301000</v>
      </c>
      <c r="BI5" s="279"/>
      <c r="BJ5" s="279"/>
      <c r="BK5" s="279"/>
      <c r="BL5" s="279"/>
      <c r="BM5" s="279" t="s">
        <v>1547</v>
      </c>
      <c r="BN5" s="279"/>
      <c r="BO5" s="279"/>
      <c r="BP5" s="500">
        <f t="shared" ref="BP5:BP76" si="13">IF(AJ5="전략P",0.062,IF(AJ5="전략",0.068,IF(AND(AJ5="전기",LEFT(AM5,2)="레이"),0.145,IF(AJ5="전기",0.065,IF(LEFT(AM5,3)="캐스퍼",0.093,IF(H5&lt;1000,0.145,0.093))))))-IF(BO5&gt;0,BO5%,0%)</f>
        <v>6.8000000000000005E-2</v>
      </c>
      <c r="BQ5" s="973">
        <f t="shared" ref="BQ5:BQ76" si="14">BP5-0.007</f>
        <v>6.1000000000000006E-2</v>
      </c>
    </row>
    <row r="6" spans="1:69" s="460" customFormat="1" ht="15" customHeight="1">
      <c r="A6" s="281">
        <v>3</v>
      </c>
      <c r="B6" s="279">
        <v>445582002</v>
      </c>
      <c r="C6" s="279" t="s">
        <v>472</v>
      </c>
      <c r="D6" s="279" t="s">
        <v>473</v>
      </c>
      <c r="E6" s="279" t="s">
        <v>482</v>
      </c>
      <c r="F6" s="279" t="s">
        <v>474</v>
      </c>
      <c r="G6" s="279">
        <v>21380000</v>
      </c>
      <c r="H6" s="279">
        <v>1591</v>
      </c>
      <c r="I6" s="279">
        <v>0</v>
      </c>
      <c r="J6" s="279">
        <v>5</v>
      </c>
      <c r="K6" s="279" t="s">
        <v>508</v>
      </c>
      <c r="L6" s="279">
        <v>0</v>
      </c>
      <c r="M6" s="279" t="s">
        <v>95</v>
      </c>
      <c r="N6" s="279" t="s">
        <v>476</v>
      </c>
      <c r="O6" s="279" t="s">
        <v>950</v>
      </c>
      <c r="P6" s="279" t="s">
        <v>97</v>
      </c>
      <c r="Q6" s="279" t="s">
        <v>1020</v>
      </c>
      <c r="R6" s="279"/>
      <c r="S6" s="279">
        <v>53</v>
      </c>
      <c r="T6" s="279">
        <v>10.5</v>
      </c>
      <c r="U6" s="279" t="s">
        <v>477</v>
      </c>
      <c r="V6" s="279" t="s">
        <v>477</v>
      </c>
      <c r="W6" s="279" t="s">
        <v>473</v>
      </c>
      <c r="X6" s="279" t="s">
        <v>478</v>
      </c>
      <c r="Y6" s="279"/>
      <c r="Z6" s="279"/>
      <c r="AA6" s="279"/>
      <c r="AB6" s="279" t="s">
        <v>479</v>
      </c>
      <c r="AC6" s="279" t="s">
        <v>480</v>
      </c>
      <c r="AD6" s="279" t="s">
        <v>491</v>
      </c>
      <c r="AE6" s="279">
        <v>82002</v>
      </c>
      <c r="AF6" s="279" t="s">
        <v>473</v>
      </c>
      <c r="AG6" s="279"/>
      <c r="AH6" s="279"/>
      <c r="AI6" s="279">
        <v>20230509</v>
      </c>
      <c r="AJ6" s="462" t="s">
        <v>1151</v>
      </c>
      <c r="AK6" s="279"/>
      <c r="AL6" s="279" t="str">
        <f>IF(AB6="Y","단종모델",LEFT(N6,3)&amp;IFERROR(VLOOKUP(LEFT(N6,3)&amp;P6,#REF!,2,0),""))</f>
        <v>HDM</v>
      </c>
      <c r="AM6" s="469" t="str">
        <f t="shared" si="0"/>
        <v xml:space="preserve">아반떼 LPG 1.6 (일반) </v>
      </c>
      <c r="AN6" s="279">
        <f t="shared" si="5"/>
        <v>21380000</v>
      </c>
      <c r="AO6" s="279">
        <f t="shared" si="6"/>
        <v>1591</v>
      </c>
      <c r="AP6" s="279" t="str">
        <f t="shared" si="7"/>
        <v>L</v>
      </c>
      <c r="AQ6" s="279">
        <f t="shared" si="8"/>
        <v>5</v>
      </c>
      <c r="AR6" s="279" t="str">
        <f t="shared" si="9"/>
        <v>승용</v>
      </c>
      <c r="AS6" s="279" t="str">
        <f t="shared" si="10"/>
        <v>승용</v>
      </c>
      <c r="AT6" s="279" t="str">
        <f t="shared" si="1"/>
        <v>2급</v>
      </c>
      <c r="AU6" s="279" t="str">
        <f t="shared" si="2"/>
        <v>02:울산</v>
      </c>
      <c r="AV6" s="279">
        <f t="shared" si="11"/>
        <v>0</v>
      </c>
      <c r="AW6" s="279" t="str">
        <f t="shared" si="3"/>
        <v>D</v>
      </c>
      <c r="AX6" s="279" t="str">
        <f t="shared" si="12"/>
        <v>전략</v>
      </c>
      <c r="AY6" s="468">
        <v>0.03</v>
      </c>
      <c r="AZ6" s="468"/>
      <c r="BA6" s="279" t="s">
        <v>1654</v>
      </c>
      <c r="BB6" s="279" t="s">
        <v>1629</v>
      </c>
      <c r="BC6" s="279"/>
      <c r="BD6" s="279" t="s">
        <v>1474</v>
      </c>
      <c r="BE6" s="279" t="str">
        <f t="shared" si="4"/>
        <v>현대</v>
      </c>
      <c r="BF6" s="581">
        <v>4.1000000000000002E-2</v>
      </c>
      <c r="BG6" s="281">
        <v>77000</v>
      </c>
      <c r="BH6" s="281">
        <v>301000</v>
      </c>
      <c r="BI6" s="279"/>
      <c r="BJ6" s="279"/>
      <c r="BK6" s="279"/>
      <c r="BL6" s="279"/>
      <c r="BM6" s="279" t="s">
        <v>1547</v>
      </c>
      <c r="BN6" s="279"/>
      <c r="BO6" s="279"/>
      <c r="BP6" s="500">
        <f t="shared" si="13"/>
        <v>6.8000000000000005E-2</v>
      </c>
      <c r="BQ6" s="973">
        <f t="shared" si="14"/>
        <v>6.1000000000000006E-2</v>
      </c>
    </row>
    <row r="7" spans="1:69" s="460" customFormat="1" ht="14.25" customHeight="1">
      <c r="A7" s="281">
        <v>4</v>
      </c>
      <c r="B7" s="279">
        <v>445582012</v>
      </c>
      <c r="C7" s="279" t="s">
        <v>472</v>
      </c>
      <c r="D7" s="279" t="s">
        <v>473</v>
      </c>
      <c r="E7" s="279" t="s">
        <v>482</v>
      </c>
      <c r="F7" s="279" t="s">
        <v>474</v>
      </c>
      <c r="G7" s="279">
        <v>20080000</v>
      </c>
      <c r="H7" s="279">
        <v>1591</v>
      </c>
      <c r="I7" s="279">
        <v>0</v>
      </c>
      <c r="J7" s="279">
        <v>5</v>
      </c>
      <c r="K7" s="279" t="s">
        <v>537</v>
      </c>
      <c r="L7" s="279">
        <v>0</v>
      </c>
      <c r="M7" s="279" t="s">
        <v>95</v>
      </c>
      <c r="N7" s="279" t="s">
        <v>476</v>
      </c>
      <c r="O7" s="279" t="s">
        <v>950</v>
      </c>
      <c r="P7" s="279" t="s">
        <v>97</v>
      </c>
      <c r="Q7" s="279" t="s">
        <v>1021</v>
      </c>
      <c r="R7" s="279"/>
      <c r="S7" s="279">
        <v>53</v>
      </c>
      <c r="T7" s="279">
        <v>10.5</v>
      </c>
      <c r="U7" s="279" t="s">
        <v>477</v>
      </c>
      <c r="V7" s="279" t="s">
        <v>477</v>
      </c>
      <c r="W7" s="279" t="s">
        <v>473</v>
      </c>
      <c r="X7" s="279" t="s">
        <v>478</v>
      </c>
      <c r="Y7" s="279"/>
      <c r="Z7" s="279"/>
      <c r="AA7" s="279"/>
      <c r="AB7" s="279" t="s">
        <v>479</v>
      </c>
      <c r="AC7" s="279" t="s">
        <v>480</v>
      </c>
      <c r="AD7" s="279" t="s">
        <v>491</v>
      </c>
      <c r="AE7" s="279">
        <v>82012</v>
      </c>
      <c r="AF7" s="279" t="s">
        <v>473</v>
      </c>
      <c r="AG7" s="279"/>
      <c r="AH7" s="279"/>
      <c r="AI7" s="279">
        <v>20230509</v>
      </c>
      <c r="AJ7" s="462" t="s">
        <v>1151</v>
      </c>
      <c r="AK7" s="279"/>
      <c r="AL7" s="279" t="str">
        <f>IF(AB7="Y","단종모델",LEFT(N7,3)&amp;IFERROR(VLOOKUP(LEFT(N7,3)&amp;P7,#REF!,2,0),""))</f>
        <v>HDM</v>
      </c>
      <c r="AM7" s="469" t="str">
        <f t="shared" si="0"/>
        <v xml:space="preserve">아반떼 LPG 1.6 (렌터카용) </v>
      </c>
      <c r="AN7" s="279">
        <f t="shared" si="5"/>
        <v>20080000</v>
      </c>
      <c r="AO7" s="279">
        <f t="shared" si="6"/>
        <v>1591</v>
      </c>
      <c r="AP7" s="279" t="str">
        <f t="shared" si="7"/>
        <v>R</v>
      </c>
      <c r="AQ7" s="279">
        <f t="shared" si="8"/>
        <v>5</v>
      </c>
      <c r="AR7" s="279" t="str">
        <f t="shared" si="9"/>
        <v>승용</v>
      </c>
      <c r="AS7" s="279" t="str">
        <f t="shared" si="10"/>
        <v>승용</v>
      </c>
      <c r="AT7" s="279" t="str">
        <f t="shared" si="1"/>
        <v>2급</v>
      </c>
      <c r="AU7" s="279" t="str">
        <f t="shared" si="2"/>
        <v>02:울산</v>
      </c>
      <c r="AV7" s="279">
        <f t="shared" si="11"/>
        <v>0</v>
      </c>
      <c r="AW7" s="279" t="str">
        <f t="shared" si="3"/>
        <v>D</v>
      </c>
      <c r="AX7" s="279" t="str">
        <f t="shared" si="12"/>
        <v>전략</v>
      </c>
      <c r="AY7" s="468">
        <v>0.03</v>
      </c>
      <c r="AZ7" s="468"/>
      <c r="BA7" s="279" t="s">
        <v>1654</v>
      </c>
      <c r="BB7" s="279" t="s">
        <v>1629</v>
      </c>
      <c r="BC7" s="279"/>
      <c r="BD7" s="279" t="s">
        <v>1474</v>
      </c>
      <c r="BE7" s="279" t="str">
        <f t="shared" si="4"/>
        <v>현대</v>
      </c>
      <c r="BF7" s="581">
        <v>4.1000000000000002E-2</v>
      </c>
      <c r="BG7" s="281">
        <v>77000</v>
      </c>
      <c r="BH7" s="281">
        <v>301000</v>
      </c>
      <c r="BI7" s="279"/>
      <c r="BJ7" s="279"/>
      <c r="BK7" s="279"/>
      <c r="BL7" s="279"/>
      <c r="BM7" s="279" t="s">
        <v>1547</v>
      </c>
      <c r="BN7" s="279"/>
      <c r="BO7" s="279"/>
      <c r="BP7" s="500">
        <f t="shared" si="13"/>
        <v>6.8000000000000005E-2</v>
      </c>
      <c r="BQ7" s="973">
        <f t="shared" si="14"/>
        <v>6.1000000000000006E-2</v>
      </c>
    </row>
    <row r="8" spans="1:69" s="460" customFormat="1" ht="15" customHeight="1">
      <c r="A8" s="281">
        <v>5</v>
      </c>
      <c r="B8" s="279">
        <v>446682095</v>
      </c>
      <c r="C8" s="279" t="s">
        <v>472</v>
      </c>
      <c r="D8" s="279" t="s">
        <v>473</v>
      </c>
      <c r="E8" s="279" t="s">
        <v>482</v>
      </c>
      <c r="F8" s="279" t="s">
        <v>474</v>
      </c>
      <c r="G8" s="279">
        <v>33670000</v>
      </c>
      <c r="H8" s="279">
        <v>1999</v>
      </c>
      <c r="I8" s="279">
        <v>0</v>
      </c>
      <c r="J8" s="279">
        <v>5</v>
      </c>
      <c r="K8" s="279" t="s">
        <v>495</v>
      </c>
      <c r="L8" s="279">
        <v>0</v>
      </c>
      <c r="M8" s="279" t="s">
        <v>95</v>
      </c>
      <c r="N8" s="279" t="s">
        <v>476</v>
      </c>
      <c r="O8" s="279" t="s">
        <v>110</v>
      </c>
      <c r="P8" s="279" t="s">
        <v>954</v>
      </c>
      <c r="Q8" s="279" t="s">
        <v>1027</v>
      </c>
      <c r="R8" s="279"/>
      <c r="S8" s="279">
        <v>50</v>
      </c>
      <c r="T8" s="279">
        <v>19.399999999999999</v>
      </c>
      <c r="U8" s="279" t="s">
        <v>501</v>
      </c>
      <c r="V8" s="279" t="s">
        <v>501</v>
      </c>
      <c r="W8" s="279" t="s">
        <v>473</v>
      </c>
      <c r="X8" s="279" t="s">
        <v>498</v>
      </c>
      <c r="Y8" s="279"/>
      <c r="Z8" s="279"/>
      <c r="AA8" s="279"/>
      <c r="AB8" s="279" t="s">
        <v>494</v>
      </c>
      <c r="AC8" s="279" t="s">
        <v>499</v>
      </c>
      <c r="AD8" s="279" t="s">
        <v>491</v>
      </c>
      <c r="AE8" s="279">
        <v>82095</v>
      </c>
      <c r="AF8" s="279" t="s">
        <v>473</v>
      </c>
      <c r="AG8" s="279"/>
      <c r="AH8" s="279"/>
      <c r="AI8" s="279">
        <v>20230509</v>
      </c>
      <c r="AJ8" s="462" t="s">
        <v>1151</v>
      </c>
      <c r="AK8" s="279"/>
      <c r="AL8" s="279" t="str">
        <f>IF(AB8="Y","단종모델",LEFT(N8,3)&amp;IFERROR(VLOOKUP(LEFT(N8,3)&amp;P8,#REF!,2,0),""))</f>
        <v>HDM</v>
      </c>
      <c r="AM8" s="469" t="str">
        <f t="shared" si="0"/>
        <v xml:space="preserve">쏘나타 가솔린 2.0 하이브리드 </v>
      </c>
      <c r="AN8" s="279">
        <f t="shared" si="5"/>
        <v>33670000</v>
      </c>
      <c r="AO8" s="279">
        <f t="shared" si="6"/>
        <v>1999</v>
      </c>
      <c r="AP8" s="279" t="str">
        <f t="shared" si="7"/>
        <v>T</v>
      </c>
      <c r="AQ8" s="279">
        <f t="shared" si="8"/>
        <v>5</v>
      </c>
      <c r="AR8" s="279" t="str">
        <f t="shared" si="9"/>
        <v>승용</v>
      </c>
      <c r="AS8" s="279" t="str">
        <f t="shared" si="10"/>
        <v>승용</v>
      </c>
      <c r="AT8" s="279" t="str">
        <f t="shared" si="1"/>
        <v>3급</v>
      </c>
      <c r="AU8" s="279" t="str">
        <f t="shared" si="2"/>
        <v>01:아산</v>
      </c>
      <c r="AV8" s="279">
        <f t="shared" si="11"/>
        <v>0</v>
      </c>
      <c r="AW8" s="279" t="str">
        <f t="shared" si="3"/>
        <v>D</v>
      </c>
      <c r="AX8" s="279" t="str">
        <f t="shared" si="12"/>
        <v>전략</v>
      </c>
      <c r="AY8" s="468">
        <v>0.03</v>
      </c>
      <c r="AZ8" s="468"/>
      <c r="BA8" s="468" t="s">
        <v>1549</v>
      </c>
      <c r="BB8" s="279" t="s">
        <v>1630</v>
      </c>
      <c r="BC8" s="279"/>
      <c r="BD8" s="279" t="s">
        <v>390</v>
      </c>
      <c r="BE8" s="279" t="str">
        <f t="shared" si="4"/>
        <v>현대</v>
      </c>
      <c r="BF8" s="581">
        <v>4.1000000000000002E-2</v>
      </c>
      <c r="BG8" s="281">
        <v>0</v>
      </c>
      <c r="BH8" s="281">
        <v>178000</v>
      </c>
      <c r="BI8" s="279"/>
      <c r="BJ8" s="279"/>
      <c r="BK8" s="279"/>
      <c r="BL8" s="279"/>
      <c r="BM8" s="279" t="s">
        <v>1547</v>
      </c>
      <c r="BN8" s="279"/>
      <c r="BO8" s="279"/>
      <c r="BP8" s="500">
        <f t="shared" si="13"/>
        <v>6.8000000000000005E-2</v>
      </c>
      <c r="BQ8" s="973">
        <f t="shared" si="14"/>
        <v>6.1000000000000006E-2</v>
      </c>
    </row>
    <row r="9" spans="1:69" s="460" customFormat="1" ht="15" customHeight="1">
      <c r="A9" s="281">
        <v>6</v>
      </c>
      <c r="B9" s="279">
        <v>446682460</v>
      </c>
      <c r="C9" s="279" t="s">
        <v>472</v>
      </c>
      <c r="D9" s="279" t="s">
        <v>473</v>
      </c>
      <c r="E9" s="279" t="s">
        <v>482</v>
      </c>
      <c r="F9" s="279" t="s">
        <v>474</v>
      </c>
      <c r="G9" s="279">
        <v>28390000</v>
      </c>
      <c r="H9" s="279">
        <v>1999</v>
      </c>
      <c r="I9" s="279">
        <v>0</v>
      </c>
      <c r="J9" s="279">
        <v>5</v>
      </c>
      <c r="K9" s="279" t="s">
        <v>475</v>
      </c>
      <c r="L9" s="279">
        <v>0</v>
      </c>
      <c r="M9" s="279" t="s">
        <v>95</v>
      </c>
      <c r="N9" s="279" t="s">
        <v>476</v>
      </c>
      <c r="O9" s="279" t="s">
        <v>955</v>
      </c>
      <c r="P9" s="279" t="s">
        <v>954</v>
      </c>
      <c r="Q9" s="279" t="s">
        <v>1023</v>
      </c>
      <c r="R9" s="279"/>
      <c r="S9" s="279">
        <v>60</v>
      </c>
      <c r="T9" s="279">
        <v>12.6</v>
      </c>
      <c r="U9" s="279" t="s">
        <v>502</v>
      </c>
      <c r="V9" s="279" t="s">
        <v>502</v>
      </c>
      <c r="W9" s="279" t="s">
        <v>473</v>
      </c>
      <c r="X9" s="279" t="s">
        <v>498</v>
      </c>
      <c r="Y9" s="279"/>
      <c r="Z9" s="279"/>
      <c r="AA9" s="279"/>
      <c r="AB9" s="279" t="s">
        <v>494</v>
      </c>
      <c r="AC9" s="279" t="s">
        <v>499</v>
      </c>
      <c r="AD9" s="279" t="s">
        <v>491</v>
      </c>
      <c r="AE9" s="279">
        <v>82460</v>
      </c>
      <c r="AF9" s="279" t="s">
        <v>473</v>
      </c>
      <c r="AG9" s="279"/>
      <c r="AH9" s="279"/>
      <c r="AI9" s="279">
        <v>20230509</v>
      </c>
      <c r="AJ9" s="462" t="s">
        <v>1151</v>
      </c>
      <c r="AK9" s="279"/>
      <c r="AL9" s="279" t="str">
        <f>IF(AB9="Y","단종모델",LEFT(N9,3)&amp;IFERROR(VLOOKUP(LEFT(N9,3)&amp;P9,#REF!,2,0),""))</f>
        <v>HDM</v>
      </c>
      <c r="AM9" s="469" t="str">
        <f t="shared" si="0"/>
        <v xml:space="preserve">쏘나타 가솔린 2.0 </v>
      </c>
      <c r="AN9" s="279">
        <f t="shared" si="5"/>
        <v>28390000</v>
      </c>
      <c r="AO9" s="279">
        <f t="shared" si="6"/>
        <v>1999</v>
      </c>
      <c r="AP9" s="279" t="str">
        <f t="shared" si="7"/>
        <v>M</v>
      </c>
      <c r="AQ9" s="279">
        <f t="shared" si="8"/>
        <v>5</v>
      </c>
      <c r="AR9" s="279" t="str">
        <f t="shared" si="9"/>
        <v>승용</v>
      </c>
      <c r="AS9" s="279" t="str">
        <f t="shared" si="10"/>
        <v>승용</v>
      </c>
      <c r="AT9" s="279" t="str">
        <f t="shared" si="1"/>
        <v>3급</v>
      </c>
      <c r="AU9" s="279" t="str">
        <f t="shared" si="2"/>
        <v>01:아산</v>
      </c>
      <c r="AV9" s="279">
        <f t="shared" si="11"/>
        <v>0</v>
      </c>
      <c r="AW9" s="279" t="str">
        <f t="shared" si="3"/>
        <v>D</v>
      </c>
      <c r="AX9" s="279" t="str">
        <f t="shared" si="12"/>
        <v>전략</v>
      </c>
      <c r="AY9" s="468">
        <v>0.03</v>
      </c>
      <c r="AZ9" s="468"/>
      <c r="BA9" s="468" t="s">
        <v>1549</v>
      </c>
      <c r="BB9" s="279" t="s">
        <v>1630</v>
      </c>
      <c r="BC9" s="279"/>
      <c r="BD9" s="279" t="s">
        <v>1281</v>
      </c>
      <c r="BE9" s="279" t="str">
        <f t="shared" si="4"/>
        <v>현대</v>
      </c>
      <c r="BF9" s="581">
        <v>4.1000000000000002E-2</v>
      </c>
      <c r="BG9" s="281">
        <v>0</v>
      </c>
      <c r="BH9" s="281">
        <v>178000</v>
      </c>
      <c r="BI9" s="279"/>
      <c r="BJ9" s="279"/>
      <c r="BK9" s="279"/>
      <c r="BL9" s="279"/>
      <c r="BM9" s="279" t="s">
        <v>1547</v>
      </c>
      <c r="BN9" s="279"/>
      <c r="BO9" s="279"/>
      <c r="BP9" s="500">
        <f t="shared" si="13"/>
        <v>6.8000000000000005E-2</v>
      </c>
      <c r="BQ9" s="973">
        <f t="shared" si="14"/>
        <v>6.1000000000000006E-2</v>
      </c>
    </row>
    <row r="10" spans="1:69" s="460" customFormat="1" ht="15" customHeight="1">
      <c r="A10" s="281">
        <v>7</v>
      </c>
      <c r="B10" s="279">
        <v>446682463</v>
      </c>
      <c r="C10" s="279" t="s">
        <v>472</v>
      </c>
      <c r="D10" s="279" t="s">
        <v>473</v>
      </c>
      <c r="E10" s="279" t="s">
        <v>482</v>
      </c>
      <c r="F10" s="279" t="s">
        <v>474</v>
      </c>
      <c r="G10" s="279">
        <v>29070000</v>
      </c>
      <c r="H10" s="279">
        <v>1598</v>
      </c>
      <c r="I10" s="279">
        <v>0</v>
      </c>
      <c r="J10" s="279">
        <v>5</v>
      </c>
      <c r="K10" s="279" t="s">
        <v>475</v>
      </c>
      <c r="L10" s="279">
        <v>0</v>
      </c>
      <c r="M10" s="279" t="s">
        <v>95</v>
      </c>
      <c r="N10" s="279" t="s">
        <v>476</v>
      </c>
      <c r="O10" s="279" t="s">
        <v>955</v>
      </c>
      <c r="P10" s="279" t="s">
        <v>954</v>
      </c>
      <c r="Q10" s="279" t="s">
        <v>1024</v>
      </c>
      <c r="R10" s="279"/>
      <c r="S10" s="279">
        <v>60</v>
      </c>
      <c r="T10" s="279">
        <v>13.5</v>
      </c>
      <c r="U10" s="279" t="s">
        <v>502</v>
      </c>
      <c r="V10" s="279" t="s">
        <v>502</v>
      </c>
      <c r="W10" s="279" t="s">
        <v>473</v>
      </c>
      <c r="X10" s="279" t="s">
        <v>478</v>
      </c>
      <c r="Y10" s="279"/>
      <c r="Z10" s="279"/>
      <c r="AA10" s="279"/>
      <c r="AB10" s="279" t="s">
        <v>494</v>
      </c>
      <c r="AC10" s="279" t="s">
        <v>480</v>
      </c>
      <c r="AD10" s="279" t="s">
        <v>491</v>
      </c>
      <c r="AE10" s="279">
        <v>82463</v>
      </c>
      <c r="AF10" s="279" t="s">
        <v>473</v>
      </c>
      <c r="AG10" s="279"/>
      <c r="AH10" s="279"/>
      <c r="AI10" s="279">
        <v>20230509</v>
      </c>
      <c r="AJ10" s="462" t="s">
        <v>1151</v>
      </c>
      <c r="AK10" s="279"/>
      <c r="AL10" s="279" t="str">
        <f>IF(AB10="Y","단종모델",LEFT(N10,3)&amp;IFERROR(VLOOKUP(LEFT(N10,3)&amp;P10,#REF!,2,0),""))</f>
        <v>HDM</v>
      </c>
      <c r="AM10" s="469" t="str">
        <f t="shared" si="0"/>
        <v xml:space="preserve">쏘나타 가솔린 터보 1.6 </v>
      </c>
      <c r="AN10" s="279">
        <f t="shared" si="5"/>
        <v>29070000</v>
      </c>
      <c r="AO10" s="279">
        <f t="shared" si="6"/>
        <v>1598</v>
      </c>
      <c r="AP10" s="279" t="str">
        <f t="shared" si="7"/>
        <v>M</v>
      </c>
      <c r="AQ10" s="279">
        <f t="shared" si="8"/>
        <v>5</v>
      </c>
      <c r="AR10" s="279" t="str">
        <f t="shared" si="9"/>
        <v>승용</v>
      </c>
      <c r="AS10" s="279" t="str">
        <f t="shared" si="10"/>
        <v>승용</v>
      </c>
      <c r="AT10" s="279" t="str">
        <f t="shared" si="1"/>
        <v>2급</v>
      </c>
      <c r="AU10" s="279" t="str">
        <f t="shared" si="2"/>
        <v>01:아산</v>
      </c>
      <c r="AV10" s="279">
        <f t="shared" si="11"/>
        <v>0</v>
      </c>
      <c r="AW10" s="279" t="str">
        <f t="shared" si="3"/>
        <v>D</v>
      </c>
      <c r="AX10" s="279" t="str">
        <f t="shared" si="12"/>
        <v>전략</v>
      </c>
      <c r="AY10" s="468">
        <v>0.03</v>
      </c>
      <c r="AZ10" s="468"/>
      <c r="BA10" s="468" t="s">
        <v>1552</v>
      </c>
      <c r="BB10" s="279" t="s">
        <v>1630</v>
      </c>
      <c r="BC10" s="279"/>
      <c r="BD10" s="279" t="s">
        <v>1281</v>
      </c>
      <c r="BE10" s="279" t="str">
        <f t="shared" si="4"/>
        <v>현대</v>
      </c>
      <c r="BF10" s="581">
        <v>4.1000000000000002E-2</v>
      </c>
      <c r="BG10" s="281">
        <v>0</v>
      </c>
      <c r="BH10" s="281">
        <v>178000</v>
      </c>
      <c r="BI10" s="279"/>
      <c r="BJ10" s="279"/>
      <c r="BK10" s="279"/>
      <c r="BL10" s="279"/>
      <c r="BM10" s="279" t="s">
        <v>1547</v>
      </c>
      <c r="BN10" s="279"/>
      <c r="BO10" s="279"/>
      <c r="BP10" s="500">
        <f t="shared" si="13"/>
        <v>6.8000000000000005E-2</v>
      </c>
      <c r="BQ10" s="973">
        <f t="shared" si="14"/>
        <v>6.1000000000000006E-2</v>
      </c>
    </row>
    <row r="11" spans="1:69" s="460" customFormat="1" ht="15" customHeight="1">
      <c r="A11" s="281">
        <v>8</v>
      </c>
      <c r="B11" s="279">
        <v>446682469</v>
      </c>
      <c r="C11" s="279" t="s">
        <v>472</v>
      </c>
      <c r="D11" s="279" t="s">
        <v>473</v>
      </c>
      <c r="E11" s="279" t="s">
        <v>482</v>
      </c>
      <c r="F11" s="279" t="s">
        <v>474</v>
      </c>
      <c r="G11" s="279">
        <v>29290000</v>
      </c>
      <c r="H11" s="279">
        <v>1999</v>
      </c>
      <c r="I11" s="279">
        <v>0</v>
      </c>
      <c r="J11" s="279">
        <v>5</v>
      </c>
      <c r="K11" s="279" t="s">
        <v>508</v>
      </c>
      <c r="L11" s="279">
        <v>0</v>
      </c>
      <c r="M11" s="279" t="s">
        <v>95</v>
      </c>
      <c r="N11" s="279" t="s">
        <v>476</v>
      </c>
      <c r="O11" s="279" t="s">
        <v>955</v>
      </c>
      <c r="P11" s="279" t="s">
        <v>954</v>
      </c>
      <c r="Q11" s="279" t="s">
        <v>1025</v>
      </c>
      <c r="R11" s="279"/>
      <c r="S11" s="279">
        <v>64</v>
      </c>
      <c r="T11" s="279">
        <v>9.6999999999999993</v>
      </c>
      <c r="U11" s="279" t="s">
        <v>502</v>
      </c>
      <c r="V11" s="279" t="s">
        <v>502</v>
      </c>
      <c r="W11" s="279" t="s">
        <v>473</v>
      </c>
      <c r="X11" s="279" t="s">
        <v>498</v>
      </c>
      <c r="Y11" s="279"/>
      <c r="Z11" s="279"/>
      <c r="AA11" s="279"/>
      <c r="AB11" s="279" t="s">
        <v>494</v>
      </c>
      <c r="AC11" s="279" t="s">
        <v>499</v>
      </c>
      <c r="AD11" s="279" t="s">
        <v>491</v>
      </c>
      <c r="AE11" s="279">
        <v>82469</v>
      </c>
      <c r="AF11" s="279" t="s">
        <v>473</v>
      </c>
      <c r="AG11" s="279"/>
      <c r="AH11" s="279"/>
      <c r="AI11" s="279">
        <v>20230509</v>
      </c>
      <c r="AJ11" s="462" t="s">
        <v>1151</v>
      </c>
      <c r="AK11" s="279"/>
      <c r="AL11" s="279" t="str">
        <f>IF(AB11="Y","단종모델",LEFT(N11,3)&amp;IFERROR(VLOOKUP(LEFT(N11,3)&amp;P11,#REF!,2,0),""))</f>
        <v>HDM</v>
      </c>
      <c r="AM11" s="469" t="str">
        <f t="shared" si="0"/>
        <v xml:space="preserve">쏘나타 LPG 2.0 (일반판매용) </v>
      </c>
      <c r="AN11" s="279">
        <f t="shared" si="5"/>
        <v>29290000</v>
      </c>
      <c r="AO11" s="279">
        <f t="shared" si="6"/>
        <v>1999</v>
      </c>
      <c r="AP11" s="279" t="str">
        <f t="shared" si="7"/>
        <v>L</v>
      </c>
      <c r="AQ11" s="279">
        <f t="shared" si="8"/>
        <v>5</v>
      </c>
      <c r="AR11" s="279" t="str">
        <f t="shared" si="9"/>
        <v>승용</v>
      </c>
      <c r="AS11" s="279" t="str">
        <f t="shared" si="10"/>
        <v>승용</v>
      </c>
      <c r="AT11" s="279" t="str">
        <f t="shared" si="1"/>
        <v>3급</v>
      </c>
      <c r="AU11" s="279" t="str">
        <f t="shared" si="2"/>
        <v>01:아산</v>
      </c>
      <c r="AV11" s="279">
        <f t="shared" si="11"/>
        <v>0</v>
      </c>
      <c r="AW11" s="279" t="str">
        <f t="shared" si="3"/>
        <v>D</v>
      </c>
      <c r="AX11" s="279" t="str">
        <f t="shared" si="12"/>
        <v>전략</v>
      </c>
      <c r="AY11" s="468">
        <v>0.03</v>
      </c>
      <c r="AZ11" s="468"/>
      <c r="BA11" s="279" t="s">
        <v>1685</v>
      </c>
      <c r="BB11" s="279" t="s">
        <v>1629</v>
      </c>
      <c r="BC11" s="279"/>
      <c r="BD11" s="279" t="s">
        <v>1281</v>
      </c>
      <c r="BE11" s="279" t="str">
        <f t="shared" si="4"/>
        <v>현대</v>
      </c>
      <c r="BF11" s="581">
        <v>4.1000000000000002E-2</v>
      </c>
      <c r="BG11" s="281">
        <v>0</v>
      </c>
      <c r="BH11" s="281">
        <v>178000</v>
      </c>
      <c r="BI11" s="279"/>
      <c r="BJ11" s="279"/>
      <c r="BK11" s="279"/>
      <c r="BL11" s="279"/>
      <c r="BM11" s="279" t="s">
        <v>1547</v>
      </c>
      <c r="BN11" s="279"/>
      <c r="BO11" s="279"/>
      <c r="BP11" s="500">
        <f t="shared" si="13"/>
        <v>6.8000000000000005E-2</v>
      </c>
      <c r="BQ11" s="973">
        <f t="shared" si="14"/>
        <v>6.1000000000000006E-2</v>
      </c>
    </row>
    <row r="12" spans="1:69" s="460" customFormat="1" ht="15" customHeight="1">
      <c r="A12" s="281">
        <v>9</v>
      </c>
      <c r="B12" s="279">
        <v>446682473</v>
      </c>
      <c r="C12" s="279" t="s">
        <v>472</v>
      </c>
      <c r="D12" s="279" t="s">
        <v>473</v>
      </c>
      <c r="E12" s="279" t="s">
        <v>482</v>
      </c>
      <c r="F12" s="279" t="s">
        <v>474</v>
      </c>
      <c r="G12" s="279">
        <v>25460000</v>
      </c>
      <c r="H12" s="279">
        <v>1999</v>
      </c>
      <c r="I12" s="279">
        <v>0</v>
      </c>
      <c r="J12" s="279">
        <v>5</v>
      </c>
      <c r="K12" s="279" t="s">
        <v>537</v>
      </c>
      <c r="L12" s="279">
        <v>0</v>
      </c>
      <c r="M12" s="279" t="s">
        <v>95</v>
      </c>
      <c r="N12" s="279" t="s">
        <v>476</v>
      </c>
      <c r="O12" s="279" t="s">
        <v>955</v>
      </c>
      <c r="P12" s="279" t="s">
        <v>954</v>
      </c>
      <c r="Q12" s="279" t="s">
        <v>1026</v>
      </c>
      <c r="R12" s="279"/>
      <c r="S12" s="279">
        <v>64</v>
      </c>
      <c r="T12" s="279">
        <v>9.6</v>
      </c>
      <c r="U12" s="279" t="s">
        <v>501</v>
      </c>
      <c r="V12" s="279" t="s">
        <v>501</v>
      </c>
      <c r="W12" s="279" t="s">
        <v>473</v>
      </c>
      <c r="X12" s="279" t="s">
        <v>498</v>
      </c>
      <c r="Y12" s="279"/>
      <c r="Z12" s="279"/>
      <c r="AA12" s="279"/>
      <c r="AB12" s="279" t="s">
        <v>494</v>
      </c>
      <c r="AC12" s="279" t="s">
        <v>499</v>
      </c>
      <c r="AD12" s="279" t="s">
        <v>491</v>
      </c>
      <c r="AE12" s="279">
        <v>82473</v>
      </c>
      <c r="AF12" s="279" t="s">
        <v>473</v>
      </c>
      <c r="AG12" s="279"/>
      <c r="AH12" s="279"/>
      <c r="AI12" s="279">
        <v>20230509</v>
      </c>
      <c r="AJ12" s="462" t="s">
        <v>1151</v>
      </c>
      <c r="AK12" s="279"/>
      <c r="AL12" s="279" t="str">
        <f>IF(AB12="Y","단종모델",LEFT(N12,3)&amp;IFERROR(VLOOKUP(LEFT(N12,3)&amp;P12,#REF!,2,0),""))</f>
        <v>HDM</v>
      </c>
      <c r="AM12" s="469" t="str">
        <f t="shared" si="0"/>
        <v xml:space="preserve">쏘나타 LPG 2.0 (렌터카용) </v>
      </c>
      <c r="AN12" s="279">
        <f t="shared" si="5"/>
        <v>25460000</v>
      </c>
      <c r="AO12" s="279">
        <f t="shared" si="6"/>
        <v>1999</v>
      </c>
      <c r="AP12" s="279" t="str">
        <f t="shared" si="7"/>
        <v>R</v>
      </c>
      <c r="AQ12" s="279">
        <f t="shared" si="8"/>
        <v>5</v>
      </c>
      <c r="AR12" s="279" t="str">
        <f t="shared" si="9"/>
        <v>승용</v>
      </c>
      <c r="AS12" s="279" t="str">
        <f t="shared" si="10"/>
        <v>승용</v>
      </c>
      <c r="AT12" s="279" t="str">
        <f t="shared" si="1"/>
        <v>3급</v>
      </c>
      <c r="AU12" s="279" t="str">
        <f t="shared" si="2"/>
        <v>01:아산</v>
      </c>
      <c r="AV12" s="279">
        <f t="shared" si="11"/>
        <v>0</v>
      </c>
      <c r="AW12" s="279" t="str">
        <f t="shared" si="3"/>
        <v>D</v>
      </c>
      <c r="AX12" s="279" t="str">
        <f t="shared" si="12"/>
        <v>전략</v>
      </c>
      <c r="AY12" s="468">
        <v>0.03</v>
      </c>
      <c r="AZ12" s="468"/>
      <c r="BA12" s="279" t="s">
        <v>1685</v>
      </c>
      <c r="BB12" s="279" t="s">
        <v>1629</v>
      </c>
      <c r="BC12" s="279"/>
      <c r="BD12" s="279" t="s">
        <v>1281</v>
      </c>
      <c r="BE12" s="279" t="str">
        <f t="shared" si="4"/>
        <v>현대</v>
      </c>
      <c r="BF12" s="581">
        <v>4.1000000000000002E-2</v>
      </c>
      <c r="BG12" s="281">
        <v>0</v>
      </c>
      <c r="BH12" s="281">
        <v>178000</v>
      </c>
      <c r="BI12" s="279"/>
      <c r="BJ12" s="279"/>
      <c r="BK12" s="279"/>
      <c r="BL12" s="279"/>
      <c r="BM12" s="279" t="s">
        <v>1547</v>
      </c>
      <c r="BN12" s="279"/>
      <c r="BO12" s="279"/>
      <c r="BP12" s="500">
        <f t="shared" si="13"/>
        <v>6.8000000000000005E-2</v>
      </c>
      <c r="BQ12" s="973">
        <f t="shared" si="14"/>
        <v>6.1000000000000006E-2</v>
      </c>
    </row>
    <row r="13" spans="1:69" s="460" customFormat="1" ht="15" customHeight="1">
      <c r="A13" s="281">
        <v>10</v>
      </c>
      <c r="B13" s="279">
        <v>418887997</v>
      </c>
      <c r="C13" s="279" t="s">
        <v>472</v>
      </c>
      <c r="D13" s="279" t="s">
        <v>473</v>
      </c>
      <c r="E13" s="279" t="s">
        <v>482</v>
      </c>
      <c r="F13" s="279" t="s">
        <v>474</v>
      </c>
      <c r="G13" s="279">
        <v>44340000</v>
      </c>
      <c r="H13" s="279">
        <v>1598</v>
      </c>
      <c r="I13" s="279">
        <v>0</v>
      </c>
      <c r="J13" s="279">
        <v>5</v>
      </c>
      <c r="K13" s="279" t="s">
        <v>495</v>
      </c>
      <c r="L13" s="279">
        <v>0</v>
      </c>
      <c r="M13" s="279" t="s">
        <v>95</v>
      </c>
      <c r="N13" s="279" t="s">
        <v>476</v>
      </c>
      <c r="O13" s="279" t="s">
        <v>1538</v>
      </c>
      <c r="P13" s="279" t="s">
        <v>96</v>
      </c>
      <c r="Q13" s="279" t="s">
        <v>1539</v>
      </c>
      <c r="R13" s="279"/>
      <c r="S13" s="279">
        <v>50</v>
      </c>
      <c r="T13" s="279">
        <v>18</v>
      </c>
      <c r="U13" s="279" t="s">
        <v>1540</v>
      </c>
      <c r="V13" s="279" t="s">
        <v>1540</v>
      </c>
      <c r="W13" s="279" t="s">
        <v>473</v>
      </c>
      <c r="X13" s="279" t="s">
        <v>478</v>
      </c>
      <c r="Y13" s="279"/>
      <c r="Z13" s="279"/>
      <c r="AA13" s="279"/>
      <c r="AB13" s="279" t="s">
        <v>494</v>
      </c>
      <c r="AC13" s="279" t="s">
        <v>480</v>
      </c>
      <c r="AD13" s="279" t="s">
        <v>491</v>
      </c>
      <c r="AE13" s="279">
        <v>87997</v>
      </c>
      <c r="AF13" s="279" t="s">
        <v>473</v>
      </c>
      <c r="AG13" s="279"/>
      <c r="AH13" s="279"/>
      <c r="AI13" s="279">
        <v>20240607</v>
      </c>
      <c r="AJ13" s="462" t="s">
        <v>1153</v>
      </c>
      <c r="AK13" s="279"/>
      <c r="AL13" s="279" t="str">
        <f>IF(AB13="Y","단종모델",LEFT(N13,3)&amp;IFERROR(VLOOKUP(LEFT(N13,3)&amp;P13,#REF!,2,0),""))</f>
        <v>HDM</v>
      </c>
      <c r="AM13" s="469" t="str">
        <f t="shared" si="0"/>
        <v xml:space="preserve">디 올 뉴 그랜저 가솔린 터보 1.6 하이브리드 </v>
      </c>
      <c r="AN13" s="279">
        <f t="shared" si="5"/>
        <v>44340000</v>
      </c>
      <c r="AO13" s="279">
        <f t="shared" si="6"/>
        <v>1598</v>
      </c>
      <c r="AP13" s="279" t="str">
        <f t="shared" si="7"/>
        <v>T</v>
      </c>
      <c r="AQ13" s="279">
        <f t="shared" si="8"/>
        <v>5</v>
      </c>
      <c r="AR13" s="279" t="str">
        <f t="shared" si="9"/>
        <v>승용</v>
      </c>
      <c r="AS13" s="279" t="str">
        <f t="shared" si="10"/>
        <v>승용</v>
      </c>
      <c r="AT13" s="279" t="str">
        <f t="shared" si="1"/>
        <v>2급</v>
      </c>
      <c r="AU13" s="279" t="str">
        <f t="shared" si="2"/>
        <v>01:아산</v>
      </c>
      <c r="AV13" s="279">
        <f t="shared" si="11"/>
        <v>0</v>
      </c>
      <c r="AW13" s="279" t="str">
        <f t="shared" si="3"/>
        <v>D</v>
      </c>
      <c r="AX13" s="279" t="str">
        <f t="shared" si="12"/>
        <v>전략P</v>
      </c>
      <c r="AY13" s="468">
        <v>2.5000000000000001E-2</v>
      </c>
      <c r="AZ13" s="468"/>
      <c r="BA13" s="279" t="s">
        <v>1687</v>
      </c>
      <c r="BB13" s="279" t="s">
        <v>1552</v>
      </c>
      <c r="BC13" s="279"/>
      <c r="BD13" s="279" t="s">
        <v>1184</v>
      </c>
      <c r="BE13" s="279" t="str">
        <f t="shared" si="4"/>
        <v>현대</v>
      </c>
      <c r="BF13" s="581">
        <v>4.1000000000000002E-2</v>
      </c>
      <c r="BG13" s="281">
        <v>0</v>
      </c>
      <c r="BH13" s="281">
        <v>178000</v>
      </c>
      <c r="BI13" s="279"/>
      <c r="BJ13" s="279"/>
      <c r="BK13" s="279"/>
      <c r="BL13" s="279"/>
      <c r="BM13" s="279" t="s">
        <v>1547</v>
      </c>
      <c r="BN13" s="279"/>
      <c r="BO13" s="279"/>
      <c r="BP13" s="500">
        <f t="shared" si="13"/>
        <v>6.2E-2</v>
      </c>
      <c r="BQ13" s="973">
        <f t="shared" si="14"/>
        <v>5.5E-2</v>
      </c>
    </row>
    <row r="14" spans="1:69" s="460" customFormat="1" ht="15" customHeight="1">
      <c r="A14" s="281">
        <v>11</v>
      </c>
      <c r="B14" s="279">
        <v>418888002</v>
      </c>
      <c r="C14" s="279" t="s">
        <v>472</v>
      </c>
      <c r="D14" s="279" t="s">
        <v>473</v>
      </c>
      <c r="E14" s="279" t="s">
        <v>482</v>
      </c>
      <c r="F14" s="279" t="s">
        <v>474</v>
      </c>
      <c r="G14" s="279">
        <v>37680000</v>
      </c>
      <c r="H14" s="279">
        <v>2497</v>
      </c>
      <c r="I14" s="279">
        <v>0</v>
      </c>
      <c r="J14" s="279">
        <v>5</v>
      </c>
      <c r="K14" s="279" t="s">
        <v>475</v>
      </c>
      <c r="L14" s="279">
        <v>0</v>
      </c>
      <c r="M14" s="279" t="s">
        <v>95</v>
      </c>
      <c r="N14" s="279" t="s">
        <v>476</v>
      </c>
      <c r="O14" s="279" t="s">
        <v>1538</v>
      </c>
      <c r="P14" s="279" t="s">
        <v>96</v>
      </c>
      <c r="Q14" s="279" t="s">
        <v>1541</v>
      </c>
      <c r="R14" s="279"/>
      <c r="S14" s="279">
        <v>60</v>
      </c>
      <c r="T14" s="279">
        <v>11.7</v>
      </c>
      <c r="U14" s="279" t="s">
        <v>1540</v>
      </c>
      <c r="V14" s="279" t="s">
        <v>1540</v>
      </c>
      <c r="W14" s="279" t="s">
        <v>473</v>
      </c>
      <c r="X14" s="279" t="s">
        <v>484</v>
      </c>
      <c r="Y14" s="279"/>
      <c r="Z14" s="279"/>
      <c r="AA14" s="279"/>
      <c r="AB14" s="279" t="s">
        <v>494</v>
      </c>
      <c r="AC14" s="279" t="s">
        <v>487</v>
      </c>
      <c r="AD14" s="279" t="s">
        <v>491</v>
      </c>
      <c r="AE14" s="279">
        <v>88002</v>
      </c>
      <c r="AF14" s="279" t="s">
        <v>473</v>
      </c>
      <c r="AG14" s="279"/>
      <c r="AH14" s="279"/>
      <c r="AI14" s="279">
        <v>20240607</v>
      </c>
      <c r="AJ14" s="462" t="s">
        <v>1153</v>
      </c>
      <c r="AK14" s="279"/>
      <c r="AL14" s="279" t="str">
        <f>IF(AB14="Y","단종모델",LEFT(N14,3)&amp;IFERROR(VLOOKUP(LEFT(N14,3)&amp;P14,#REF!,2,0),""))</f>
        <v>HDM</v>
      </c>
      <c r="AM14" s="469" t="str">
        <f t="shared" si="0"/>
        <v xml:space="preserve">디 올 뉴 그랜저 가솔린 2.5 </v>
      </c>
      <c r="AN14" s="279">
        <f t="shared" si="5"/>
        <v>37680000</v>
      </c>
      <c r="AO14" s="279">
        <f t="shared" si="6"/>
        <v>2497</v>
      </c>
      <c r="AP14" s="279" t="str">
        <f t="shared" si="7"/>
        <v>M</v>
      </c>
      <c r="AQ14" s="279">
        <f t="shared" si="8"/>
        <v>5</v>
      </c>
      <c r="AR14" s="279" t="str">
        <f t="shared" si="9"/>
        <v>승용</v>
      </c>
      <c r="AS14" s="279" t="str">
        <f t="shared" si="10"/>
        <v>승용</v>
      </c>
      <c r="AT14" s="279" t="str">
        <f t="shared" si="1"/>
        <v>4급</v>
      </c>
      <c r="AU14" s="279" t="str">
        <f t="shared" si="2"/>
        <v>01:아산</v>
      </c>
      <c r="AV14" s="279">
        <f t="shared" si="11"/>
        <v>0</v>
      </c>
      <c r="AW14" s="279" t="str">
        <f t="shared" si="3"/>
        <v>D</v>
      </c>
      <c r="AX14" s="279" t="str">
        <f t="shared" si="12"/>
        <v>전략P</v>
      </c>
      <c r="AY14" s="468">
        <v>2.5000000000000001E-2</v>
      </c>
      <c r="AZ14" s="468"/>
      <c r="BA14" s="279" t="s">
        <v>1563</v>
      </c>
      <c r="BB14" s="279" t="s">
        <v>1552</v>
      </c>
      <c r="BC14" s="279"/>
      <c r="BD14" s="279" t="s">
        <v>1184</v>
      </c>
      <c r="BE14" s="279" t="str">
        <f t="shared" si="4"/>
        <v>현대</v>
      </c>
      <c r="BF14" s="581">
        <v>4.1000000000000002E-2</v>
      </c>
      <c r="BG14" s="281">
        <v>0</v>
      </c>
      <c r="BH14" s="281">
        <v>178000</v>
      </c>
      <c r="BI14" s="279"/>
      <c r="BJ14" s="279"/>
      <c r="BK14" s="279"/>
      <c r="BL14" s="279"/>
      <c r="BM14" s="279" t="s">
        <v>1547</v>
      </c>
      <c r="BN14" s="279"/>
      <c r="BO14" s="279"/>
      <c r="BP14" s="500">
        <f t="shared" si="13"/>
        <v>6.2E-2</v>
      </c>
      <c r="BQ14" s="973">
        <f t="shared" si="14"/>
        <v>5.5E-2</v>
      </c>
    </row>
    <row r="15" spans="1:69" s="460" customFormat="1" ht="15" customHeight="1">
      <c r="A15" s="281">
        <v>12</v>
      </c>
      <c r="B15" s="279">
        <v>418888007</v>
      </c>
      <c r="C15" s="279" t="s">
        <v>472</v>
      </c>
      <c r="D15" s="279" t="s">
        <v>473</v>
      </c>
      <c r="E15" s="279" t="s">
        <v>482</v>
      </c>
      <c r="F15" s="279" t="s">
        <v>474</v>
      </c>
      <c r="G15" s="279">
        <v>40150000</v>
      </c>
      <c r="H15" s="279">
        <v>3470</v>
      </c>
      <c r="I15" s="279">
        <v>0</v>
      </c>
      <c r="J15" s="279">
        <v>5</v>
      </c>
      <c r="K15" s="279" t="s">
        <v>475</v>
      </c>
      <c r="L15" s="279">
        <v>0</v>
      </c>
      <c r="M15" s="279" t="s">
        <v>95</v>
      </c>
      <c r="N15" s="279" t="s">
        <v>476</v>
      </c>
      <c r="O15" s="279" t="s">
        <v>1538</v>
      </c>
      <c r="P15" s="279" t="s">
        <v>96</v>
      </c>
      <c r="Q15" s="279" t="s">
        <v>1236</v>
      </c>
      <c r="R15" s="279"/>
      <c r="S15" s="279">
        <v>60</v>
      </c>
      <c r="T15" s="279">
        <v>10.4</v>
      </c>
      <c r="U15" s="279" t="s">
        <v>1540</v>
      </c>
      <c r="V15" s="279" t="s">
        <v>1540</v>
      </c>
      <c r="W15" s="279" t="s">
        <v>473</v>
      </c>
      <c r="X15" s="279" t="s">
        <v>484</v>
      </c>
      <c r="Y15" s="279"/>
      <c r="Z15" s="279"/>
      <c r="AA15" s="279"/>
      <c r="AB15" s="279" t="s">
        <v>494</v>
      </c>
      <c r="AC15" s="279" t="s">
        <v>518</v>
      </c>
      <c r="AD15" s="279" t="s">
        <v>491</v>
      </c>
      <c r="AE15" s="279">
        <v>88007</v>
      </c>
      <c r="AF15" s="279" t="s">
        <v>473</v>
      </c>
      <c r="AG15" s="279"/>
      <c r="AH15" s="279"/>
      <c r="AI15" s="279">
        <v>20240607</v>
      </c>
      <c r="AJ15" s="462" t="s">
        <v>1153</v>
      </c>
      <c r="AK15" s="279"/>
      <c r="AL15" s="279" t="str">
        <f>IF(AB15="Y","단종모델",LEFT(N15,3)&amp;IFERROR(VLOOKUP(LEFT(N15,3)&amp;P15,#REF!,2,0),""))</f>
        <v>HDM</v>
      </c>
      <c r="AM15" s="469" t="str">
        <f t="shared" si="0"/>
        <v xml:space="preserve">디 올 뉴 그랜저 가솔린 3.5 </v>
      </c>
      <c r="AN15" s="279">
        <f t="shared" si="5"/>
        <v>40150000</v>
      </c>
      <c r="AO15" s="279">
        <f t="shared" si="6"/>
        <v>3470</v>
      </c>
      <c r="AP15" s="279" t="str">
        <f t="shared" si="7"/>
        <v>M</v>
      </c>
      <c r="AQ15" s="279">
        <f t="shared" si="8"/>
        <v>5</v>
      </c>
      <c r="AR15" s="279" t="str">
        <f t="shared" si="9"/>
        <v>승용</v>
      </c>
      <c r="AS15" s="279" t="str">
        <f t="shared" si="10"/>
        <v>승용</v>
      </c>
      <c r="AT15" s="279" t="str">
        <f t="shared" si="1"/>
        <v>5급</v>
      </c>
      <c r="AU15" s="279" t="str">
        <f t="shared" si="2"/>
        <v>01:아산</v>
      </c>
      <c r="AV15" s="279">
        <f t="shared" si="11"/>
        <v>0</v>
      </c>
      <c r="AW15" s="279" t="str">
        <f t="shared" si="3"/>
        <v>D</v>
      </c>
      <c r="AX15" s="279" t="str">
        <f t="shared" si="12"/>
        <v>전략P</v>
      </c>
      <c r="AY15" s="468">
        <v>2.5000000000000001E-2</v>
      </c>
      <c r="AZ15" s="468"/>
      <c r="BA15" s="279" t="s">
        <v>1641</v>
      </c>
      <c r="BB15" s="1168" t="s">
        <v>1554</v>
      </c>
      <c r="BC15" s="279"/>
      <c r="BD15" s="279" t="s">
        <v>1184</v>
      </c>
      <c r="BE15" s="279" t="str">
        <f t="shared" si="4"/>
        <v>현대</v>
      </c>
      <c r="BF15" s="581">
        <v>4.1000000000000002E-2</v>
      </c>
      <c r="BG15" s="281">
        <v>0</v>
      </c>
      <c r="BH15" s="281">
        <v>178000</v>
      </c>
      <c r="BI15" s="279"/>
      <c r="BJ15" s="279"/>
      <c r="BK15" s="279"/>
      <c r="BL15" s="279"/>
      <c r="BM15" s="279" t="s">
        <v>1547</v>
      </c>
      <c r="BN15" s="279"/>
      <c r="BO15" s="279"/>
      <c r="BP15" s="500">
        <f t="shared" si="13"/>
        <v>6.2E-2</v>
      </c>
      <c r="BQ15" s="973">
        <f t="shared" si="14"/>
        <v>5.5E-2</v>
      </c>
    </row>
    <row r="16" spans="1:69" s="460" customFormat="1" ht="15" customHeight="1">
      <c r="A16" s="281">
        <v>13</v>
      </c>
      <c r="B16" s="279">
        <v>418888017</v>
      </c>
      <c r="C16" s="279" t="s">
        <v>472</v>
      </c>
      <c r="D16" s="279" t="s">
        <v>473</v>
      </c>
      <c r="E16" s="279" t="s">
        <v>482</v>
      </c>
      <c r="F16" s="279" t="s">
        <v>474</v>
      </c>
      <c r="G16" s="279">
        <v>39160000</v>
      </c>
      <c r="H16" s="279">
        <v>3470</v>
      </c>
      <c r="I16" s="279">
        <v>0</v>
      </c>
      <c r="J16" s="279">
        <v>5</v>
      </c>
      <c r="K16" s="279" t="s">
        <v>508</v>
      </c>
      <c r="L16" s="279">
        <v>0</v>
      </c>
      <c r="M16" s="279" t="s">
        <v>95</v>
      </c>
      <c r="N16" s="279" t="s">
        <v>476</v>
      </c>
      <c r="O16" s="279" t="s">
        <v>1538</v>
      </c>
      <c r="P16" s="279" t="s">
        <v>96</v>
      </c>
      <c r="Q16" s="279" t="s">
        <v>1542</v>
      </c>
      <c r="R16" s="279"/>
      <c r="S16" s="279">
        <v>71</v>
      </c>
      <c r="T16" s="279">
        <v>7.8</v>
      </c>
      <c r="U16" s="279" t="s">
        <v>1540</v>
      </c>
      <c r="V16" s="279" t="s">
        <v>1540</v>
      </c>
      <c r="W16" s="279" t="s">
        <v>473</v>
      </c>
      <c r="X16" s="279" t="s">
        <v>484</v>
      </c>
      <c r="Y16" s="279"/>
      <c r="Z16" s="279"/>
      <c r="AA16" s="279"/>
      <c r="AB16" s="279" t="s">
        <v>494</v>
      </c>
      <c r="AC16" s="279" t="s">
        <v>518</v>
      </c>
      <c r="AD16" s="279" t="s">
        <v>491</v>
      </c>
      <c r="AE16" s="279">
        <v>88017</v>
      </c>
      <c r="AF16" s="279" t="s">
        <v>473</v>
      </c>
      <c r="AG16" s="279"/>
      <c r="AH16" s="279"/>
      <c r="AI16" s="279">
        <v>20240607</v>
      </c>
      <c r="AJ16" s="462" t="s">
        <v>1153</v>
      </c>
      <c r="AK16" s="279"/>
      <c r="AL16" s="279" t="str">
        <f>IF(AB16="Y","단종모델",LEFT(N16,3)&amp;IFERROR(VLOOKUP(LEFT(N16,3)&amp;P16,#REF!,2,0),""))</f>
        <v>HDM</v>
      </c>
      <c r="AM16" s="469" t="str">
        <f t="shared" si="0"/>
        <v xml:space="preserve">디 올 뉴 그랜저 LPG 3.5 (일반판매용) </v>
      </c>
      <c r="AN16" s="279">
        <f t="shared" si="5"/>
        <v>39160000</v>
      </c>
      <c r="AO16" s="279">
        <f t="shared" si="6"/>
        <v>3470</v>
      </c>
      <c r="AP16" s="279" t="str">
        <f t="shared" si="7"/>
        <v>L</v>
      </c>
      <c r="AQ16" s="279">
        <f t="shared" si="8"/>
        <v>5</v>
      </c>
      <c r="AR16" s="279" t="str">
        <f t="shared" si="9"/>
        <v>승용</v>
      </c>
      <c r="AS16" s="279" t="str">
        <f t="shared" si="10"/>
        <v>승용</v>
      </c>
      <c r="AT16" s="279" t="str">
        <f t="shared" si="1"/>
        <v>5급</v>
      </c>
      <c r="AU16" s="279" t="str">
        <f t="shared" si="2"/>
        <v>01:아산</v>
      </c>
      <c r="AV16" s="279">
        <f t="shared" si="11"/>
        <v>0</v>
      </c>
      <c r="AW16" s="279" t="str">
        <f t="shared" si="3"/>
        <v>D</v>
      </c>
      <c r="AX16" s="279" t="str">
        <f t="shared" si="12"/>
        <v>전략P</v>
      </c>
      <c r="AY16" s="468">
        <v>2.5000000000000001E-2</v>
      </c>
      <c r="AZ16" s="468"/>
      <c r="BA16" s="279" t="s">
        <v>1686</v>
      </c>
      <c r="BB16" s="279" t="s">
        <v>1629</v>
      </c>
      <c r="BC16" s="279"/>
      <c r="BD16" s="279" t="s">
        <v>1184</v>
      </c>
      <c r="BE16" s="279" t="str">
        <f t="shared" si="4"/>
        <v>현대</v>
      </c>
      <c r="BF16" s="581">
        <v>4.1000000000000002E-2</v>
      </c>
      <c r="BG16" s="281">
        <v>0</v>
      </c>
      <c r="BH16" s="281">
        <v>178000</v>
      </c>
      <c r="BI16" s="279"/>
      <c r="BJ16" s="279"/>
      <c r="BK16" s="279"/>
      <c r="BL16" s="279"/>
      <c r="BM16" s="279" t="s">
        <v>1547</v>
      </c>
      <c r="BN16" s="279"/>
      <c r="BO16" s="279"/>
      <c r="BP16" s="500">
        <f t="shared" si="13"/>
        <v>6.2E-2</v>
      </c>
      <c r="BQ16" s="973">
        <f t="shared" si="14"/>
        <v>5.5E-2</v>
      </c>
    </row>
    <row r="17" spans="1:69" s="460" customFormat="1" ht="15" customHeight="1">
      <c r="A17" s="281">
        <v>14</v>
      </c>
      <c r="B17" s="279">
        <v>459286992</v>
      </c>
      <c r="C17" s="279" t="s">
        <v>472</v>
      </c>
      <c r="D17" s="279" t="s">
        <v>528</v>
      </c>
      <c r="E17" s="279" t="s">
        <v>482</v>
      </c>
      <c r="F17" s="279" t="s">
        <v>474</v>
      </c>
      <c r="G17" s="279">
        <v>27710000</v>
      </c>
      <c r="H17" s="279">
        <v>1598</v>
      </c>
      <c r="I17" s="279">
        <v>0</v>
      </c>
      <c r="J17" s="279">
        <v>5</v>
      </c>
      <c r="K17" s="279" t="s">
        <v>475</v>
      </c>
      <c r="L17" s="279">
        <v>0</v>
      </c>
      <c r="M17" s="279" t="s">
        <v>95</v>
      </c>
      <c r="N17" s="279" t="s">
        <v>476</v>
      </c>
      <c r="O17" s="279" t="s">
        <v>1421</v>
      </c>
      <c r="P17" s="279" t="s">
        <v>104</v>
      </c>
      <c r="Q17" s="279" t="s">
        <v>1422</v>
      </c>
      <c r="R17" s="279"/>
      <c r="S17" s="279">
        <v>54</v>
      </c>
      <c r="T17" s="279">
        <v>12.5</v>
      </c>
      <c r="U17" s="279" t="s">
        <v>523</v>
      </c>
      <c r="V17" s="279" t="s">
        <v>523</v>
      </c>
      <c r="W17" s="279" t="s">
        <v>473</v>
      </c>
      <c r="X17" s="279" t="s">
        <v>478</v>
      </c>
      <c r="Y17" s="279"/>
      <c r="Z17" s="279"/>
      <c r="AA17" s="279"/>
      <c r="AB17" s="279" t="s">
        <v>479</v>
      </c>
      <c r="AC17" s="279" t="s">
        <v>490</v>
      </c>
      <c r="AD17" s="279" t="s">
        <v>491</v>
      </c>
      <c r="AE17" s="279">
        <v>86992</v>
      </c>
      <c r="AF17" s="279" t="s">
        <v>473</v>
      </c>
      <c r="AG17" s="279"/>
      <c r="AH17" s="279"/>
      <c r="AI17" s="279">
        <v>20240510</v>
      </c>
      <c r="AJ17" s="462" t="s">
        <v>1151</v>
      </c>
      <c r="AK17" s="279"/>
      <c r="AL17" s="279" t="str">
        <f>IF(AB17="Y","단종모델",LEFT(N17,3)&amp;IFERROR(VLOOKUP(LEFT(N17,3)&amp;P17,#REF!,2,0),""))</f>
        <v>HDM</v>
      </c>
      <c r="AM17" s="469" t="str">
        <f t="shared" si="0"/>
        <v xml:space="preserve">투싼 가솔린 터보 1.6 </v>
      </c>
      <c r="AN17" s="279">
        <f t="shared" si="5"/>
        <v>27710000</v>
      </c>
      <c r="AO17" s="279">
        <f t="shared" si="6"/>
        <v>1598</v>
      </c>
      <c r="AP17" s="279" t="str">
        <f t="shared" si="7"/>
        <v>M</v>
      </c>
      <c r="AQ17" s="279">
        <f t="shared" si="8"/>
        <v>5</v>
      </c>
      <c r="AR17" s="279" t="str">
        <f t="shared" si="9"/>
        <v>RV</v>
      </c>
      <c r="AS17" s="279" t="str">
        <f t="shared" si="10"/>
        <v>승용</v>
      </c>
      <c r="AT17" s="279" t="str">
        <f t="shared" si="1"/>
        <v>7급</v>
      </c>
      <c r="AU17" s="279" t="str">
        <f t="shared" si="2"/>
        <v>02:울산</v>
      </c>
      <c r="AV17" s="279">
        <f t="shared" si="11"/>
        <v>0</v>
      </c>
      <c r="AW17" s="279" t="str">
        <f t="shared" si="3"/>
        <v>D</v>
      </c>
      <c r="AX17" s="279" t="str">
        <f t="shared" si="12"/>
        <v>전략</v>
      </c>
      <c r="AY17" s="468">
        <v>0.03</v>
      </c>
      <c r="AZ17" s="468"/>
      <c r="BA17" s="279" t="s">
        <v>1687</v>
      </c>
      <c r="BB17" s="279" t="s">
        <v>1628</v>
      </c>
      <c r="BC17" s="279"/>
      <c r="BD17" s="279" t="s">
        <v>1281</v>
      </c>
      <c r="BE17" s="279" t="str">
        <f t="shared" si="4"/>
        <v>현대</v>
      </c>
      <c r="BF17" s="581">
        <v>4.1000000000000002E-2</v>
      </c>
      <c r="BG17" s="281">
        <v>78000</v>
      </c>
      <c r="BH17" s="281">
        <v>302000</v>
      </c>
      <c r="BI17" s="279"/>
      <c r="BJ17" s="279"/>
      <c r="BK17" s="279"/>
      <c r="BL17" s="279"/>
      <c r="BM17" s="279" t="s">
        <v>1547</v>
      </c>
      <c r="BN17" s="279"/>
      <c r="BO17" s="279"/>
      <c r="BP17" s="500">
        <f t="shared" si="13"/>
        <v>6.8000000000000005E-2</v>
      </c>
      <c r="BQ17" s="973">
        <f t="shared" si="14"/>
        <v>6.1000000000000006E-2</v>
      </c>
    </row>
    <row r="18" spans="1:69" s="460" customFormat="1" ht="15" customHeight="1">
      <c r="A18" s="281">
        <v>15</v>
      </c>
      <c r="B18" s="279">
        <v>459287012</v>
      </c>
      <c r="C18" s="279" t="s">
        <v>472</v>
      </c>
      <c r="D18" s="279" t="s">
        <v>528</v>
      </c>
      <c r="E18" s="279" t="s">
        <v>482</v>
      </c>
      <c r="F18" s="279" t="s">
        <v>474</v>
      </c>
      <c r="G18" s="279">
        <v>30130000</v>
      </c>
      <c r="H18" s="279">
        <v>1998</v>
      </c>
      <c r="I18" s="279">
        <v>0</v>
      </c>
      <c r="J18" s="279">
        <v>5</v>
      </c>
      <c r="K18" s="279" t="s">
        <v>481</v>
      </c>
      <c r="L18" s="279">
        <v>0</v>
      </c>
      <c r="M18" s="279" t="s">
        <v>95</v>
      </c>
      <c r="N18" s="279" t="s">
        <v>476</v>
      </c>
      <c r="O18" s="279" t="s">
        <v>1421</v>
      </c>
      <c r="P18" s="279" t="s">
        <v>104</v>
      </c>
      <c r="Q18" s="279" t="s">
        <v>1423</v>
      </c>
      <c r="R18" s="279"/>
      <c r="S18" s="279">
        <v>54</v>
      </c>
      <c r="T18" s="279">
        <v>14.3</v>
      </c>
      <c r="U18" s="279" t="s">
        <v>523</v>
      </c>
      <c r="V18" s="279" t="s">
        <v>523</v>
      </c>
      <c r="W18" s="279" t="s">
        <v>473</v>
      </c>
      <c r="X18" s="279" t="s">
        <v>498</v>
      </c>
      <c r="Y18" s="279"/>
      <c r="Z18" s="279"/>
      <c r="AA18" s="279"/>
      <c r="AB18" s="279" t="s">
        <v>479</v>
      </c>
      <c r="AC18" s="279" t="s">
        <v>490</v>
      </c>
      <c r="AD18" s="279" t="s">
        <v>491</v>
      </c>
      <c r="AE18" s="279">
        <v>87012</v>
      </c>
      <c r="AF18" s="279" t="s">
        <v>473</v>
      </c>
      <c r="AG18" s="279"/>
      <c r="AH18" s="279"/>
      <c r="AI18" s="279">
        <v>20240510</v>
      </c>
      <c r="AJ18" s="462" t="s">
        <v>1151</v>
      </c>
      <c r="AK18" s="279"/>
      <c r="AL18" s="279" t="str">
        <f>IF(AB18="Y","단종모델",LEFT(N18,3)&amp;IFERROR(VLOOKUP(LEFT(N18,3)&amp;P18,#REF!,2,0),""))</f>
        <v>HDM</v>
      </c>
      <c r="AM18" s="469" t="str">
        <f t="shared" si="0"/>
        <v xml:space="preserve">투싼 디젤 2.0 </v>
      </c>
      <c r="AN18" s="279">
        <f t="shared" si="5"/>
        <v>30130000</v>
      </c>
      <c r="AO18" s="279">
        <f t="shared" si="6"/>
        <v>1998</v>
      </c>
      <c r="AP18" s="279" t="str">
        <f t="shared" si="7"/>
        <v>D</v>
      </c>
      <c r="AQ18" s="279">
        <f t="shared" si="8"/>
        <v>5</v>
      </c>
      <c r="AR18" s="279" t="str">
        <f t="shared" si="9"/>
        <v>RV</v>
      </c>
      <c r="AS18" s="279" t="str">
        <f t="shared" si="10"/>
        <v>승용</v>
      </c>
      <c r="AT18" s="279" t="str">
        <f t="shared" si="1"/>
        <v>7급</v>
      </c>
      <c r="AU18" s="279" t="str">
        <f t="shared" si="2"/>
        <v>02:울산</v>
      </c>
      <c r="AV18" s="279">
        <f t="shared" si="11"/>
        <v>0</v>
      </c>
      <c r="AW18" s="279" t="str">
        <f t="shared" si="3"/>
        <v>D</v>
      </c>
      <c r="AX18" s="279" t="str">
        <f t="shared" si="12"/>
        <v>전략</v>
      </c>
      <c r="AY18" s="468">
        <v>0.03</v>
      </c>
      <c r="AZ18" s="468"/>
      <c r="BA18" s="279" t="s">
        <v>1552</v>
      </c>
      <c r="BB18" s="279" t="s">
        <v>1629</v>
      </c>
      <c r="BC18" s="279"/>
      <c r="BD18" s="279" t="s">
        <v>1281</v>
      </c>
      <c r="BE18" s="279" t="str">
        <f t="shared" si="4"/>
        <v>현대</v>
      </c>
      <c r="BF18" s="581">
        <v>4.1000000000000002E-2</v>
      </c>
      <c r="BG18" s="281">
        <v>78000</v>
      </c>
      <c r="BH18" s="281">
        <v>302000</v>
      </c>
      <c r="BI18" s="279"/>
      <c r="BJ18" s="279"/>
      <c r="BK18" s="279"/>
      <c r="BL18" s="279"/>
      <c r="BM18" s="279" t="s">
        <v>1547</v>
      </c>
      <c r="BN18" s="279"/>
      <c r="BO18" s="279"/>
      <c r="BP18" s="500">
        <f t="shared" si="13"/>
        <v>6.8000000000000005E-2</v>
      </c>
      <c r="BQ18" s="973">
        <f t="shared" si="14"/>
        <v>6.1000000000000006E-2</v>
      </c>
    </row>
    <row r="19" spans="1:69" s="460" customFormat="1" ht="15" customHeight="1">
      <c r="A19" s="281">
        <v>16</v>
      </c>
      <c r="B19" s="279">
        <v>459287002</v>
      </c>
      <c r="C19" s="279" t="s">
        <v>472</v>
      </c>
      <c r="D19" s="279" t="s">
        <v>528</v>
      </c>
      <c r="E19" s="279" t="s">
        <v>482</v>
      </c>
      <c r="F19" s="279" t="s">
        <v>474</v>
      </c>
      <c r="G19" s="279">
        <v>33560000</v>
      </c>
      <c r="H19" s="279">
        <v>1598</v>
      </c>
      <c r="I19" s="279">
        <v>0</v>
      </c>
      <c r="J19" s="279">
        <v>5</v>
      </c>
      <c r="K19" s="279" t="s">
        <v>495</v>
      </c>
      <c r="L19" s="279">
        <v>0</v>
      </c>
      <c r="M19" s="279" t="s">
        <v>95</v>
      </c>
      <c r="N19" s="279" t="s">
        <v>476</v>
      </c>
      <c r="O19" s="279" t="s">
        <v>1421</v>
      </c>
      <c r="P19" s="279" t="s">
        <v>104</v>
      </c>
      <c r="Q19" s="279" t="s">
        <v>1420</v>
      </c>
      <c r="R19" s="279"/>
      <c r="S19" s="279">
        <v>52</v>
      </c>
      <c r="T19" s="279">
        <v>16.2</v>
      </c>
      <c r="U19" s="279" t="s">
        <v>523</v>
      </c>
      <c r="V19" s="279" t="s">
        <v>523</v>
      </c>
      <c r="W19" s="279" t="s">
        <v>473</v>
      </c>
      <c r="X19" s="279" t="s">
        <v>478</v>
      </c>
      <c r="Y19" s="279"/>
      <c r="Z19" s="279"/>
      <c r="AA19" s="279"/>
      <c r="AB19" s="279" t="s">
        <v>479</v>
      </c>
      <c r="AC19" s="279" t="s">
        <v>490</v>
      </c>
      <c r="AD19" s="279" t="s">
        <v>491</v>
      </c>
      <c r="AE19" s="279">
        <v>87002</v>
      </c>
      <c r="AF19" s="279" t="s">
        <v>473</v>
      </c>
      <c r="AG19" s="279"/>
      <c r="AH19" s="279"/>
      <c r="AI19" s="279">
        <v>20240510</v>
      </c>
      <c r="AJ19" s="462" t="s">
        <v>1151</v>
      </c>
      <c r="AK19" s="279"/>
      <c r="AL19" s="279" t="str">
        <f>IF(AB19="Y","단종모델",LEFT(N19,3)&amp;IFERROR(VLOOKUP(LEFT(N19,3)&amp;P19,#REF!,2,0),""))</f>
        <v>HDM</v>
      </c>
      <c r="AM19" s="469" t="str">
        <f t="shared" si="0"/>
        <v xml:space="preserve">투싼 가솔린 터보 1.6 하이브리드 </v>
      </c>
      <c r="AN19" s="279">
        <f t="shared" si="5"/>
        <v>33560000</v>
      </c>
      <c r="AO19" s="279">
        <f t="shared" si="6"/>
        <v>1598</v>
      </c>
      <c r="AP19" s="279" t="str">
        <f t="shared" si="7"/>
        <v>T</v>
      </c>
      <c r="AQ19" s="279">
        <f t="shared" si="8"/>
        <v>5</v>
      </c>
      <c r="AR19" s="279" t="str">
        <f t="shared" si="9"/>
        <v>RV</v>
      </c>
      <c r="AS19" s="279" t="str">
        <f t="shared" si="10"/>
        <v>승용</v>
      </c>
      <c r="AT19" s="279" t="str">
        <f t="shared" si="1"/>
        <v>7급</v>
      </c>
      <c r="AU19" s="279" t="str">
        <f t="shared" si="2"/>
        <v>02:울산</v>
      </c>
      <c r="AV19" s="279">
        <f t="shared" si="11"/>
        <v>0</v>
      </c>
      <c r="AW19" s="279" t="str">
        <f t="shared" si="3"/>
        <v>D</v>
      </c>
      <c r="AX19" s="279" t="str">
        <f t="shared" si="12"/>
        <v>전략</v>
      </c>
      <c r="AY19" s="468">
        <v>0.03</v>
      </c>
      <c r="AZ19" s="468"/>
      <c r="BA19" s="279" t="s">
        <v>1748</v>
      </c>
      <c r="BB19" s="279" t="s">
        <v>1631</v>
      </c>
      <c r="BC19" s="279"/>
      <c r="BD19" s="279" t="s">
        <v>1281</v>
      </c>
      <c r="BE19" s="279" t="str">
        <f t="shared" si="4"/>
        <v>현대</v>
      </c>
      <c r="BF19" s="581">
        <v>4.1000000000000002E-2</v>
      </c>
      <c r="BG19" s="281">
        <v>78000</v>
      </c>
      <c r="BH19" s="281">
        <v>302000</v>
      </c>
      <c r="BI19" s="279"/>
      <c r="BJ19" s="279"/>
      <c r="BK19" s="279"/>
      <c r="BL19" s="279"/>
      <c r="BM19" s="279" t="s">
        <v>1547</v>
      </c>
      <c r="BN19" s="279"/>
      <c r="BO19" s="279"/>
      <c r="BP19" s="500">
        <f t="shared" si="13"/>
        <v>6.8000000000000005E-2</v>
      </c>
      <c r="BQ19" s="973">
        <f t="shared" si="14"/>
        <v>6.1000000000000006E-2</v>
      </c>
    </row>
    <row r="20" spans="1:69" s="460" customFormat="1" ht="15" customHeight="1">
      <c r="A20" s="281">
        <v>17</v>
      </c>
      <c r="B20" s="493">
        <v>443586317</v>
      </c>
      <c r="C20" s="493" t="s">
        <v>472</v>
      </c>
      <c r="D20" s="493" t="s">
        <v>528</v>
      </c>
      <c r="E20" s="493" t="s">
        <v>482</v>
      </c>
      <c r="F20" s="493" t="s">
        <v>474</v>
      </c>
      <c r="G20" s="493">
        <v>37940000</v>
      </c>
      <c r="H20" s="493">
        <v>2497</v>
      </c>
      <c r="I20" s="493">
        <v>0</v>
      </c>
      <c r="J20" s="493">
        <v>5</v>
      </c>
      <c r="K20" s="493" t="s">
        <v>475</v>
      </c>
      <c r="L20" s="493">
        <v>0</v>
      </c>
      <c r="M20" s="493" t="s">
        <v>95</v>
      </c>
      <c r="N20" s="493" t="s">
        <v>476</v>
      </c>
      <c r="O20" s="279" t="s">
        <v>100</v>
      </c>
      <c r="P20" s="493" t="s">
        <v>99</v>
      </c>
      <c r="Q20" s="493" t="s">
        <v>1335</v>
      </c>
      <c r="R20" s="493" t="s">
        <v>1172</v>
      </c>
      <c r="S20" s="493">
        <v>67</v>
      </c>
      <c r="T20" s="493">
        <v>11</v>
      </c>
      <c r="U20" s="493" t="s">
        <v>506</v>
      </c>
      <c r="V20" s="493" t="s">
        <v>506</v>
      </c>
      <c r="W20" s="493" t="s">
        <v>473</v>
      </c>
      <c r="X20" s="493" t="s">
        <v>484</v>
      </c>
      <c r="Y20" s="279"/>
      <c r="Z20" s="279"/>
      <c r="AA20" s="279"/>
      <c r="AB20" s="279" t="s">
        <v>479</v>
      </c>
      <c r="AC20" s="493" t="s">
        <v>490</v>
      </c>
      <c r="AD20" s="493" t="s">
        <v>491</v>
      </c>
      <c r="AE20" s="493">
        <v>86317</v>
      </c>
      <c r="AF20" s="493" t="s">
        <v>473</v>
      </c>
      <c r="AG20" s="493"/>
      <c r="AH20" s="493"/>
      <c r="AI20" s="1132">
        <v>20230816</v>
      </c>
      <c r="AJ20" s="462" t="s">
        <v>1152</v>
      </c>
      <c r="AK20" s="279"/>
      <c r="AL20" s="279" t="str">
        <f>IF(AB20="Y","단종모델",LEFT(N20,3)&amp;IFERROR(VLOOKUP(LEFT(N20,3)&amp;P20,#REF!,2,0),""))</f>
        <v>HDM</v>
      </c>
      <c r="AM20" s="469" t="str">
        <f t="shared" si="0"/>
        <v>싼타페 가솔린 터보 2.5 2WD  (5인승)</v>
      </c>
      <c r="AN20" s="279">
        <f t="shared" ref="AN20:AN31" si="15">G20</f>
        <v>37940000</v>
      </c>
      <c r="AO20" s="279">
        <f t="shared" ref="AO20:AO31" si="16">H20</f>
        <v>2497</v>
      </c>
      <c r="AP20" s="279" t="str">
        <f t="shared" ref="AP20:AP31" si="17">LEFT(K20,1)</f>
        <v>M</v>
      </c>
      <c r="AQ20" s="279">
        <f t="shared" ref="AQ20:AQ31" si="18">J20</f>
        <v>5</v>
      </c>
      <c r="AR20" s="279" t="str">
        <f t="shared" ref="AR20:AR31" si="19">RIGHT(D20,2)</f>
        <v>RV</v>
      </c>
      <c r="AS20" s="279" t="str">
        <f t="shared" ref="AS20:AS31" si="20">MID(W20,4,3)</f>
        <v>승용</v>
      </c>
      <c r="AT20" s="279" t="str">
        <f t="shared" si="1"/>
        <v>7급</v>
      </c>
      <c r="AU20" s="279" t="str">
        <f t="shared" si="2"/>
        <v>02:울산</v>
      </c>
      <c r="AV20" s="279">
        <f t="shared" si="11"/>
        <v>0</v>
      </c>
      <c r="AW20" s="279" t="str">
        <f t="shared" si="3"/>
        <v>D</v>
      </c>
      <c r="AX20" s="279" t="str">
        <f t="shared" si="12"/>
        <v>전략P</v>
      </c>
      <c r="AY20" s="468">
        <v>2.5000000000000001E-2</v>
      </c>
      <c r="AZ20" s="468"/>
      <c r="BA20" s="279" t="s">
        <v>1687</v>
      </c>
      <c r="BB20" s="279" t="s">
        <v>1549</v>
      </c>
      <c r="BC20" s="279"/>
      <c r="BD20" s="279" t="s">
        <v>1184</v>
      </c>
      <c r="BE20" s="279" t="str">
        <f t="shared" si="4"/>
        <v>현대</v>
      </c>
      <c r="BF20" s="581">
        <v>4.1000000000000002E-2</v>
      </c>
      <c r="BG20" s="281">
        <v>80000</v>
      </c>
      <c r="BH20" s="281">
        <v>304000</v>
      </c>
      <c r="BI20" s="279"/>
      <c r="BJ20" s="279"/>
      <c r="BK20" s="279"/>
      <c r="BL20" s="279"/>
      <c r="BM20" s="279" t="s">
        <v>1547</v>
      </c>
      <c r="BN20" s="279"/>
      <c r="BO20" s="279"/>
      <c r="BP20" s="500">
        <f t="shared" si="13"/>
        <v>6.2E-2</v>
      </c>
      <c r="BQ20" s="973">
        <f t="shared" si="14"/>
        <v>5.5E-2</v>
      </c>
    </row>
    <row r="21" spans="1:69" s="460" customFormat="1" ht="15" customHeight="1">
      <c r="A21" s="281">
        <v>18</v>
      </c>
      <c r="B21" s="493">
        <v>443586318</v>
      </c>
      <c r="C21" s="493" t="s">
        <v>472</v>
      </c>
      <c r="D21" s="493" t="s">
        <v>528</v>
      </c>
      <c r="E21" s="493" t="s">
        <v>482</v>
      </c>
      <c r="F21" s="493" t="s">
        <v>474</v>
      </c>
      <c r="G21" s="493">
        <v>38980000</v>
      </c>
      <c r="H21" s="493">
        <v>2497</v>
      </c>
      <c r="I21" s="493">
        <v>0</v>
      </c>
      <c r="J21" s="493">
        <v>6</v>
      </c>
      <c r="K21" s="493" t="s">
        <v>475</v>
      </c>
      <c r="L21" s="493">
        <v>0</v>
      </c>
      <c r="M21" s="493" t="s">
        <v>95</v>
      </c>
      <c r="N21" s="493" t="s">
        <v>476</v>
      </c>
      <c r="O21" s="279" t="s">
        <v>100</v>
      </c>
      <c r="P21" s="493" t="s">
        <v>99</v>
      </c>
      <c r="Q21" s="493" t="s">
        <v>1335</v>
      </c>
      <c r="R21" s="493" t="s">
        <v>1173</v>
      </c>
      <c r="S21" s="493">
        <v>67</v>
      </c>
      <c r="T21" s="493">
        <v>11</v>
      </c>
      <c r="U21" s="493" t="s">
        <v>506</v>
      </c>
      <c r="V21" s="493" t="s">
        <v>506</v>
      </c>
      <c r="W21" s="493" t="s">
        <v>473</v>
      </c>
      <c r="X21" s="493" t="s">
        <v>484</v>
      </c>
      <c r="Y21" s="279"/>
      <c r="Z21" s="279"/>
      <c r="AA21" s="279"/>
      <c r="AB21" s="279" t="s">
        <v>479</v>
      </c>
      <c r="AC21" s="493" t="s">
        <v>490</v>
      </c>
      <c r="AD21" s="493" t="s">
        <v>491</v>
      </c>
      <c r="AE21" s="493">
        <v>86318</v>
      </c>
      <c r="AF21" s="493" t="s">
        <v>473</v>
      </c>
      <c r="AG21" s="493"/>
      <c r="AH21" s="493"/>
      <c r="AI21" s="1132">
        <v>20230816</v>
      </c>
      <c r="AJ21" s="462" t="s">
        <v>1152</v>
      </c>
      <c r="AK21" s="279"/>
      <c r="AL21" s="279" t="str">
        <f>IF(AB21="Y","단종모델",LEFT(N21,3)&amp;IFERROR(VLOOKUP(LEFT(N21,3)&amp;P21,#REF!,2,0),""))</f>
        <v>HDM</v>
      </c>
      <c r="AM21" s="469" t="str">
        <f t="shared" si="0"/>
        <v>싼타페 가솔린 터보 2.5 2WD  (6인승)</v>
      </c>
      <c r="AN21" s="279">
        <f t="shared" si="15"/>
        <v>38980000</v>
      </c>
      <c r="AO21" s="279">
        <f t="shared" si="16"/>
        <v>2497</v>
      </c>
      <c r="AP21" s="279" t="str">
        <f t="shared" si="17"/>
        <v>M</v>
      </c>
      <c r="AQ21" s="279">
        <f t="shared" si="18"/>
        <v>6</v>
      </c>
      <c r="AR21" s="279" t="str">
        <f t="shared" si="19"/>
        <v>RV</v>
      </c>
      <c r="AS21" s="279" t="str">
        <f t="shared" si="20"/>
        <v>승용</v>
      </c>
      <c r="AT21" s="279" t="str">
        <f t="shared" si="1"/>
        <v>7급</v>
      </c>
      <c r="AU21" s="279" t="str">
        <f t="shared" si="2"/>
        <v>02:울산</v>
      </c>
      <c r="AV21" s="279">
        <f t="shared" si="11"/>
        <v>0</v>
      </c>
      <c r="AW21" s="279" t="str">
        <f t="shared" si="3"/>
        <v>D</v>
      </c>
      <c r="AX21" s="279" t="str">
        <f t="shared" si="12"/>
        <v>전략P</v>
      </c>
      <c r="AY21" s="468">
        <v>2.5000000000000001E-2</v>
      </c>
      <c r="AZ21" s="468"/>
      <c r="BA21" s="279" t="s">
        <v>1687</v>
      </c>
      <c r="BB21" s="279" t="s">
        <v>1549</v>
      </c>
      <c r="BC21" s="279"/>
      <c r="BD21" s="279" t="s">
        <v>1184</v>
      </c>
      <c r="BE21" s="279" t="str">
        <f t="shared" si="4"/>
        <v>현대</v>
      </c>
      <c r="BF21" s="581">
        <v>4.1000000000000002E-2</v>
      </c>
      <c r="BG21" s="281">
        <v>80000</v>
      </c>
      <c r="BH21" s="281">
        <v>304000</v>
      </c>
      <c r="BI21" s="279"/>
      <c r="BJ21" s="279"/>
      <c r="BK21" s="279"/>
      <c r="BL21" s="279"/>
      <c r="BM21" s="279" t="s">
        <v>1547</v>
      </c>
      <c r="BN21" s="279"/>
      <c r="BO21" s="279"/>
      <c r="BP21" s="500">
        <f t="shared" si="13"/>
        <v>6.2E-2</v>
      </c>
      <c r="BQ21" s="973">
        <f t="shared" si="14"/>
        <v>5.5E-2</v>
      </c>
    </row>
    <row r="22" spans="1:69" s="460" customFormat="1" ht="15" customHeight="1">
      <c r="A22" s="281">
        <v>19</v>
      </c>
      <c r="B22" s="493">
        <v>443586319</v>
      </c>
      <c r="C22" s="493" t="s">
        <v>472</v>
      </c>
      <c r="D22" s="493" t="s">
        <v>528</v>
      </c>
      <c r="E22" s="493" t="s">
        <v>482</v>
      </c>
      <c r="F22" s="493" t="s">
        <v>474</v>
      </c>
      <c r="G22" s="493">
        <v>38630000</v>
      </c>
      <c r="H22" s="493">
        <v>2497</v>
      </c>
      <c r="I22" s="493">
        <v>0</v>
      </c>
      <c r="J22" s="493">
        <v>7</v>
      </c>
      <c r="K22" s="493" t="s">
        <v>475</v>
      </c>
      <c r="L22" s="493">
        <v>0</v>
      </c>
      <c r="M22" s="493" t="s">
        <v>95</v>
      </c>
      <c r="N22" s="493" t="s">
        <v>476</v>
      </c>
      <c r="O22" s="279" t="s">
        <v>100</v>
      </c>
      <c r="P22" s="493" t="s">
        <v>99</v>
      </c>
      <c r="Q22" s="493" t="s">
        <v>1335</v>
      </c>
      <c r="R22" s="493" t="s">
        <v>1174</v>
      </c>
      <c r="S22" s="493">
        <v>67</v>
      </c>
      <c r="T22" s="493">
        <v>10.6</v>
      </c>
      <c r="U22" s="493" t="s">
        <v>506</v>
      </c>
      <c r="V22" s="493" t="s">
        <v>506</v>
      </c>
      <c r="W22" s="493" t="s">
        <v>507</v>
      </c>
      <c r="X22" s="493" t="s">
        <v>484</v>
      </c>
      <c r="Y22" s="279"/>
      <c r="Z22" s="279"/>
      <c r="AA22" s="279"/>
      <c r="AB22" s="279" t="s">
        <v>479</v>
      </c>
      <c r="AC22" s="493" t="s">
        <v>490</v>
      </c>
      <c r="AD22" s="493" t="s">
        <v>491</v>
      </c>
      <c r="AE22" s="493">
        <v>86319</v>
      </c>
      <c r="AF22" s="493" t="s">
        <v>507</v>
      </c>
      <c r="AG22" s="493"/>
      <c r="AH22" s="493"/>
      <c r="AI22" s="1132">
        <v>20230816</v>
      </c>
      <c r="AJ22" s="462" t="s">
        <v>1152</v>
      </c>
      <c r="AK22" s="279"/>
      <c r="AL22" s="279" t="str">
        <f>IF(AB22="Y","단종모델",LEFT(N22,3)&amp;IFERROR(VLOOKUP(LEFT(N22,3)&amp;P22,#REF!,2,0),""))</f>
        <v>HDM</v>
      </c>
      <c r="AM22" s="469" t="str">
        <f t="shared" si="0"/>
        <v>싼타페 가솔린 터보 2.5 2WD  (7인승)</v>
      </c>
      <c r="AN22" s="279">
        <f t="shared" si="15"/>
        <v>38630000</v>
      </c>
      <c r="AO22" s="279">
        <f t="shared" si="16"/>
        <v>2497</v>
      </c>
      <c r="AP22" s="279" t="str">
        <f t="shared" si="17"/>
        <v>M</v>
      </c>
      <c r="AQ22" s="279">
        <f t="shared" si="18"/>
        <v>7</v>
      </c>
      <c r="AR22" s="279" t="str">
        <f t="shared" si="19"/>
        <v>RV</v>
      </c>
      <c r="AS22" s="279" t="str">
        <f t="shared" si="20"/>
        <v>다인승</v>
      </c>
      <c r="AT22" s="279" t="str">
        <f t="shared" si="1"/>
        <v>7급</v>
      </c>
      <c r="AU22" s="279" t="str">
        <f t="shared" si="2"/>
        <v>02:울산</v>
      </c>
      <c r="AV22" s="279">
        <f t="shared" si="11"/>
        <v>0</v>
      </c>
      <c r="AW22" s="279" t="str">
        <f t="shared" si="3"/>
        <v>D</v>
      </c>
      <c r="AX22" s="279" t="str">
        <f t="shared" si="12"/>
        <v>전략P</v>
      </c>
      <c r="AY22" s="468">
        <v>2.5000000000000001E-2</v>
      </c>
      <c r="AZ22" s="468"/>
      <c r="BA22" s="279" t="s">
        <v>1687</v>
      </c>
      <c r="BB22" s="279" t="s">
        <v>1549</v>
      </c>
      <c r="BC22" s="279"/>
      <c r="BD22" s="279" t="s">
        <v>1184</v>
      </c>
      <c r="BE22" s="279" t="str">
        <f t="shared" si="4"/>
        <v>현대</v>
      </c>
      <c r="BF22" s="581">
        <v>4.1000000000000002E-2</v>
      </c>
      <c r="BG22" s="281">
        <v>80000</v>
      </c>
      <c r="BH22" s="281">
        <v>304000</v>
      </c>
      <c r="BI22" s="279"/>
      <c r="BJ22" s="279"/>
      <c r="BK22" s="279"/>
      <c r="BL22" s="279"/>
      <c r="BM22" s="279" t="s">
        <v>1547</v>
      </c>
      <c r="BN22" s="279"/>
      <c r="BO22" s="279"/>
      <c r="BP22" s="500">
        <f t="shared" si="13"/>
        <v>6.2E-2</v>
      </c>
      <c r="BQ22" s="973">
        <f t="shared" si="14"/>
        <v>5.5E-2</v>
      </c>
    </row>
    <row r="23" spans="1:69" s="460" customFormat="1" ht="15" customHeight="1">
      <c r="A23" s="281">
        <v>20</v>
      </c>
      <c r="B23" s="493">
        <v>443586326</v>
      </c>
      <c r="C23" s="493" t="s">
        <v>472</v>
      </c>
      <c r="D23" s="493" t="s">
        <v>528</v>
      </c>
      <c r="E23" s="493" t="s">
        <v>482</v>
      </c>
      <c r="F23" s="493" t="s">
        <v>474</v>
      </c>
      <c r="G23" s="493">
        <v>40170000</v>
      </c>
      <c r="H23" s="493">
        <v>2497</v>
      </c>
      <c r="I23" s="493">
        <v>0</v>
      </c>
      <c r="J23" s="493">
        <v>5</v>
      </c>
      <c r="K23" s="493" t="s">
        <v>475</v>
      </c>
      <c r="L23" s="493">
        <v>0</v>
      </c>
      <c r="M23" s="493" t="s">
        <v>95</v>
      </c>
      <c r="N23" s="493" t="s">
        <v>476</v>
      </c>
      <c r="O23" s="279" t="s">
        <v>100</v>
      </c>
      <c r="P23" s="493" t="s">
        <v>99</v>
      </c>
      <c r="Q23" s="493" t="s">
        <v>1336</v>
      </c>
      <c r="R23" s="493" t="s">
        <v>1172</v>
      </c>
      <c r="S23" s="493">
        <v>67</v>
      </c>
      <c r="T23" s="493">
        <v>10.1</v>
      </c>
      <c r="U23" s="493" t="s">
        <v>506</v>
      </c>
      <c r="V23" s="493" t="s">
        <v>506</v>
      </c>
      <c r="W23" s="493" t="s">
        <v>473</v>
      </c>
      <c r="X23" s="493" t="s">
        <v>484</v>
      </c>
      <c r="Y23" s="279"/>
      <c r="Z23" s="279"/>
      <c r="AA23" s="279"/>
      <c r="AB23" s="279" t="s">
        <v>479</v>
      </c>
      <c r="AC23" s="493" t="s">
        <v>490</v>
      </c>
      <c r="AD23" s="493" t="s">
        <v>491</v>
      </c>
      <c r="AE23" s="493">
        <v>86326</v>
      </c>
      <c r="AF23" s="493" t="s">
        <v>473</v>
      </c>
      <c r="AG23" s="493"/>
      <c r="AH23" s="493"/>
      <c r="AI23" s="1132">
        <v>20230816</v>
      </c>
      <c r="AJ23" s="462" t="s">
        <v>1152</v>
      </c>
      <c r="AK23" s="279"/>
      <c r="AL23" s="279" t="str">
        <f>IF(AB23="Y","단종모델",LEFT(N23,3)&amp;IFERROR(VLOOKUP(LEFT(N23,3)&amp;P23,#REF!,2,0),""))</f>
        <v>HDM</v>
      </c>
      <c r="AM23" s="469" t="str">
        <f t="shared" si="0"/>
        <v>싼타페 가솔린 터보 2.5 AWD  (5인승)</v>
      </c>
      <c r="AN23" s="279">
        <f t="shared" si="15"/>
        <v>40170000</v>
      </c>
      <c r="AO23" s="279">
        <f t="shared" si="16"/>
        <v>2497</v>
      </c>
      <c r="AP23" s="279" t="str">
        <f t="shared" si="17"/>
        <v>M</v>
      </c>
      <c r="AQ23" s="279">
        <f t="shared" si="18"/>
        <v>5</v>
      </c>
      <c r="AR23" s="279" t="str">
        <f t="shared" si="19"/>
        <v>RV</v>
      </c>
      <c r="AS23" s="279" t="str">
        <f t="shared" si="20"/>
        <v>승용</v>
      </c>
      <c r="AT23" s="279" t="str">
        <f t="shared" si="1"/>
        <v>7급</v>
      </c>
      <c r="AU23" s="279" t="str">
        <f t="shared" si="2"/>
        <v>02:울산</v>
      </c>
      <c r="AV23" s="279">
        <f t="shared" si="11"/>
        <v>0</v>
      </c>
      <c r="AW23" s="279" t="str">
        <f t="shared" si="3"/>
        <v>D</v>
      </c>
      <c r="AX23" s="279" t="str">
        <f t="shared" si="12"/>
        <v>전략P</v>
      </c>
      <c r="AY23" s="468">
        <v>2.5000000000000001E-2</v>
      </c>
      <c r="AZ23" s="468"/>
      <c r="BA23" s="279" t="s">
        <v>1687</v>
      </c>
      <c r="BB23" s="279" t="s">
        <v>1549</v>
      </c>
      <c r="BC23" s="279"/>
      <c r="BD23" s="279" t="s">
        <v>1184</v>
      </c>
      <c r="BE23" s="279" t="str">
        <f t="shared" si="4"/>
        <v>현대</v>
      </c>
      <c r="BF23" s="581">
        <v>4.1000000000000002E-2</v>
      </c>
      <c r="BG23" s="281">
        <v>80000</v>
      </c>
      <c r="BH23" s="281">
        <v>304000</v>
      </c>
      <c r="BI23" s="279"/>
      <c r="BJ23" s="279"/>
      <c r="BK23" s="279"/>
      <c r="BL23" s="279"/>
      <c r="BM23" s="279" t="s">
        <v>1547</v>
      </c>
      <c r="BN23" s="279"/>
      <c r="BO23" s="279"/>
      <c r="BP23" s="500">
        <f t="shared" si="13"/>
        <v>6.2E-2</v>
      </c>
      <c r="BQ23" s="973">
        <f t="shared" si="14"/>
        <v>5.5E-2</v>
      </c>
    </row>
    <row r="24" spans="1:69" s="460" customFormat="1" ht="15" customHeight="1">
      <c r="A24" s="281">
        <v>21</v>
      </c>
      <c r="B24" s="493">
        <v>443586327</v>
      </c>
      <c r="C24" s="493" t="s">
        <v>472</v>
      </c>
      <c r="D24" s="493" t="s">
        <v>528</v>
      </c>
      <c r="E24" s="493" t="s">
        <v>482</v>
      </c>
      <c r="F24" s="493" t="s">
        <v>474</v>
      </c>
      <c r="G24" s="493">
        <v>41210000</v>
      </c>
      <c r="H24" s="493">
        <v>2497</v>
      </c>
      <c r="I24" s="493">
        <v>0</v>
      </c>
      <c r="J24" s="493">
        <v>6</v>
      </c>
      <c r="K24" s="493" t="s">
        <v>475</v>
      </c>
      <c r="L24" s="493">
        <v>0</v>
      </c>
      <c r="M24" s="493" t="s">
        <v>95</v>
      </c>
      <c r="N24" s="493" t="s">
        <v>476</v>
      </c>
      <c r="O24" s="279" t="s">
        <v>100</v>
      </c>
      <c r="P24" s="493" t="s">
        <v>99</v>
      </c>
      <c r="Q24" s="493" t="s">
        <v>1336</v>
      </c>
      <c r="R24" s="493" t="s">
        <v>1173</v>
      </c>
      <c r="S24" s="493">
        <v>67</v>
      </c>
      <c r="T24" s="493">
        <v>10.1</v>
      </c>
      <c r="U24" s="493" t="s">
        <v>506</v>
      </c>
      <c r="V24" s="493" t="s">
        <v>506</v>
      </c>
      <c r="W24" s="493" t="s">
        <v>473</v>
      </c>
      <c r="X24" s="493" t="s">
        <v>484</v>
      </c>
      <c r="Y24" s="279"/>
      <c r="Z24" s="279"/>
      <c r="AA24" s="279"/>
      <c r="AB24" s="279" t="s">
        <v>479</v>
      </c>
      <c r="AC24" s="493" t="s">
        <v>490</v>
      </c>
      <c r="AD24" s="493" t="s">
        <v>491</v>
      </c>
      <c r="AE24" s="493">
        <v>86327</v>
      </c>
      <c r="AF24" s="493" t="s">
        <v>473</v>
      </c>
      <c r="AG24" s="493"/>
      <c r="AH24" s="493"/>
      <c r="AI24" s="1132">
        <v>20230816</v>
      </c>
      <c r="AJ24" s="462" t="s">
        <v>1152</v>
      </c>
      <c r="AK24" s="279"/>
      <c r="AL24" s="279" t="str">
        <f>IF(AB24="Y","단종모델",LEFT(N24,3)&amp;IFERROR(VLOOKUP(LEFT(N24,3)&amp;P24,#REF!,2,0),""))</f>
        <v>HDM</v>
      </c>
      <c r="AM24" s="469" t="str">
        <f t="shared" si="0"/>
        <v>싼타페 가솔린 터보 2.5 AWD  (6인승)</v>
      </c>
      <c r="AN24" s="279">
        <f t="shared" si="15"/>
        <v>41210000</v>
      </c>
      <c r="AO24" s="279">
        <f t="shared" si="16"/>
        <v>2497</v>
      </c>
      <c r="AP24" s="279" t="str">
        <f t="shared" si="17"/>
        <v>M</v>
      </c>
      <c r="AQ24" s="279">
        <f t="shared" si="18"/>
        <v>6</v>
      </c>
      <c r="AR24" s="279" t="str">
        <f t="shared" si="19"/>
        <v>RV</v>
      </c>
      <c r="AS24" s="279" t="str">
        <f t="shared" si="20"/>
        <v>승용</v>
      </c>
      <c r="AT24" s="279" t="str">
        <f t="shared" si="1"/>
        <v>7급</v>
      </c>
      <c r="AU24" s="279" t="str">
        <f t="shared" si="2"/>
        <v>02:울산</v>
      </c>
      <c r="AV24" s="279">
        <f t="shared" si="11"/>
        <v>0</v>
      </c>
      <c r="AW24" s="279" t="str">
        <f t="shared" si="3"/>
        <v>D</v>
      </c>
      <c r="AX24" s="279" t="str">
        <f t="shared" si="12"/>
        <v>전략P</v>
      </c>
      <c r="AY24" s="468">
        <v>2.5000000000000001E-2</v>
      </c>
      <c r="AZ24" s="468"/>
      <c r="BA24" s="279" t="s">
        <v>1687</v>
      </c>
      <c r="BB24" s="279" t="s">
        <v>1549</v>
      </c>
      <c r="BC24" s="279"/>
      <c r="BD24" s="279" t="s">
        <v>1184</v>
      </c>
      <c r="BE24" s="279" t="str">
        <f t="shared" si="4"/>
        <v>현대</v>
      </c>
      <c r="BF24" s="581">
        <v>4.1000000000000002E-2</v>
      </c>
      <c r="BG24" s="281">
        <v>80000</v>
      </c>
      <c r="BH24" s="281">
        <v>304000</v>
      </c>
      <c r="BI24" s="279"/>
      <c r="BJ24" s="279"/>
      <c r="BK24" s="279"/>
      <c r="BL24" s="279"/>
      <c r="BM24" s="279" t="s">
        <v>1547</v>
      </c>
      <c r="BN24" s="279"/>
      <c r="BO24" s="279"/>
      <c r="BP24" s="500">
        <f t="shared" si="13"/>
        <v>6.2E-2</v>
      </c>
      <c r="BQ24" s="973">
        <f t="shared" si="14"/>
        <v>5.5E-2</v>
      </c>
    </row>
    <row r="25" spans="1:69" s="460" customFormat="1" ht="15" customHeight="1">
      <c r="A25" s="281">
        <v>22</v>
      </c>
      <c r="B25" s="493">
        <v>443586328</v>
      </c>
      <c r="C25" s="493" t="s">
        <v>472</v>
      </c>
      <c r="D25" s="493" t="s">
        <v>528</v>
      </c>
      <c r="E25" s="493" t="s">
        <v>482</v>
      </c>
      <c r="F25" s="493" t="s">
        <v>474</v>
      </c>
      <c r="G25" s="493">
        <v>40860000</v>
      </c>
      <c r="H25" s="493">
        <v>2497</v>
      </c>
      <c r="I25" s="493">
        <v>0</v>
      </c>
      <c r="J25" s="493">
        <v>7</v>
      </c>
      <c r="K25" s="493" t="s">
        <v>475</v>
      </c>
      <c r="L25" s="493">
        <v>0</v>
      </c>
      <c r="M25" s="493" t="s">
        <v>95</v>
      </c>
      <c r="N25" s="493" t="s">
        <v>476</v>
      </c>
      <c r="O25" s="279" t="s">
        <v>100</v>
      </c>
      <c r="P25" s="493" t="s">
        <v>99</v>
      </c>
      <c r="Q25" s="493" t="s">
        <v>1336</v>
      </c>
      <c r="R25" s="493" t="s">
        <v>1174</v>
      </c>
      <c r="S25" s="493">
        <v>67</v>
      </c>
      <c r="T25" s="493">
        <v>10.1</v>
      </c>
      <c r="U25" s="493" t="s">
        <v>506</v>
      </c>
      <c r="V25" s="493" t="s">
        <v>506</v>
      </c>
      <c r="W25" s="493" t="s">
        <v>507</v>
      </c>
      <c r="X25" s="493" t="s">
        <v>484</v>
      </c>
      <c r="Y25" s="279"/>
      <c r="Z25" s="279"/>
      <c r="AA25" s="279"/>
      <c r="AB25" s="279" t="s">
        <v>479</v>
      </c>
      <c r="AC25" s="493" t="s">
        <v>490</v>
      </c>
      <c r="AD25" s="493" t="s">
        <v>491</v>
      </c>
      <c r="AE25" s="493">
        <v>86328</v>
      </c>
      <c r="AF25" s="493" t="s">
        <v>507</v>
      </c>
      <c r="AG25" s="493"/>
      <c r="AH25" s="493"/>
      <c r="AI25" s="1132">
        <v>20230816</v>
      </c>
      <c r="AJ25" s="462" t="s">
        <v>1152</v>
      </c>
      <c r="AK25" s="279"/>
      <c r="AL25" s="279" t="str">
        <f>IF(AB25="Y","단종모델",LEFT(N25,3)&amp;IFERROR(VLOOKUP(LEFT(N25,3)&amp;P25,#REF!,2,0),""))</f>
        <v>HDM</v>
      </c>
      <c r="AM25" s="469" t="str">
        <f t="shared" si="0"/>
        <v>싼타페 가솔린 터보 2.5 AWD  (7인승)</v>
      </c>
      <c r="AN25" s="279">
        <f t="shared" si="15"/>
        <v>40860000</v>
      </c>
      <c r="AO25" s="279">
        <f t="shared" si="16"/>
        <v>2497</v>
      </c>
      <c r="AP25" s="279" t="str">
        <f t="shared" si="17"/>
        <v>M</v>
      </c>
      <c r="AQ25" s="279">
        <f t="shared" si="18"/>
        <v>7</v>
      </c>
      <c r="AR25" s="279" t="str">
        <f t="shared" si="19"/>
        <v>RV</v>
      </c>
      <c r="AS25" s="279" t="str">
        <f t="shared" si="20"/>
        <v>다인승</v>
      </c>
      <c r="AT25" s="279" t="str">
        <f t="shared" si="1"/>
        <v>7급</v>
      </c>
      <c r="AU25" s="279" t="str">
        <f t="shared" si="2"/>
        <v>02:울산</v>
      </c>
      <c r="AV25" s="279">
        <f t="shared" si="11"/>
        <v>0</v>
      </c>
      <c r="AW25" s="279" t="str">
        <f t="shared" si="3"/>
        <v>D</v>
      </c>
      <c r="AX25" s="279" t="str">
        <f t="shared" si="12"/>
        <v>전략P</v>
      </c>
      <c r="AY25" s="468">
        <v>2.5000000000000001E-2</v>
      </c>
      <c r="AZ25" s="468"/>
      <c r="BA25" s="279" t="s">
        <v>1687</v>
      </c>
      <c r="BB25" s="279" t="s">
        <v>1549</v>
      </c>
      <c r="BC25" s="279"/>
      <c r="BD25" s="279" t="s">
        <v>1184</v>
      </c>
      <c r="BE25" s="279" t="str">
        <f t="shared" si="4"/>
        <v>현대</v>
      </c>
      <c r="BF25" s="581">
        <v>4.1000000000000002E-2</v>
      </c>
      <c r="BG25" s="281">
        <v>80000</v>
      </c>
      <c r="BH25" s="281">
        <v>304000</v>
      </c>
      <c r="BI25" s="279"/>
      <c r="BJ25" s="279"/>
      <c r="BK25" s="279"/>
      <c r="BL25" s="279"/>
      <c r="BM25" s="279" t="s">
        <v>1547</v>
      </c>
      <c r="BN25" s="279"/>
      <c r="BO25" s="279"/>
      <c r="BP25" s="500">
        <f t="shared" si="13"/>
        <v>6.2E-2</v>
      </c>
      <c r="BQ25" s="973">
        <f t="shared" si="14"/>
        <v>5.5E-2</v>
      </c>
    </row>
    <row r="26" spans="1:69" s="460" customFormat="1" ht="15" customHeight="1">
      <c r="A26" s="281">
        <v>23</v>
      </c>
      <c r="B26" s="493">
        <v>443586297</v>
      </c>
      <c r="C26" s="493" t="s">
        <v>472</v>
      </c>
      <c r="D26" s="493" t="s">
        <v>528</v>
      </c>
      <c r="E26" s="493" t="s">
        <v>482</v>
      </c>
      <c r="F26" s="493" t="s">
        <v>474</v>
      </c>
      <c r="G26" s="493">
        <v>42790000</v>
      </c>
      <c r="H26" s="493">
        <v>1598</v>
      </c>
      <c r="I26" s="493">
        <v>0</v>
      </c>
      <c r="J26" s="493">
        <v>5</v>
      </c>
      <c r="K26" s="493" t="s">
        <v>495</v>
      </c>
      <c r="L26" s="493">
        <v>0</v>
      </c>
      <c r="M26" s="493" t="s">
        <v>95</v>
      </c>
      <c r="N26" s="493" t="s">
        <v>476</v>
      </c>
      <c r="O26" s="279" t="s">
        <v>100</v>
      </c>
      <c r="P26" s="493" t="s">
        <v>99</v>
      </c>
      <c r="Q26" s="493" t="s">
        <v>1337</v>
      </c>
      <c r="R26" s="493" t="s">
        <v>1172</v>
      </c>
      <c r="S26" s="493">
        <v>67</v>
      </c>
      <c r="T26" s="493">
        <v>0</v>
      </c>
      <c r="U26" s="493" t="s">
        <v>506</v>
      </c>
      <c r="V26" s="493" t="s">
        <v>506</v>
      </c>
      <c r="W26" s="493" t="s">
        <v>473</v>
      </c>
      <c r="X26" s="493" t="s">
        <v>478</v>
      </c>
      <c r="Y26" s="279"/>
      <c r="Z26" s="279"/>
      <c r="AA26" s="279"/>
      <c r="AB26" s="279" t="s">
        <v>479</v>
      </c>
      <c r="AC26" s="493" t="s">
        <v>490</v>
      </c>
      <c r="AD26" s="493" t="s">
        <v>491</v>
      </c>
      <c r="AE26" s="493">
        <v>86297</v>
      </c>
      <c r="AF26" s="493" t="s">
        <v>473</v>
      </c>
      <c r="AG26" s="493"/>
      <c r="AH26" s="493"/>
      <c r="AI26" s="1132">
        <v>20230816</v>
      </c>
      <c r="AJ26" s="462" t="s">
        <v>1152</v>
      </c>
      <c r="AK26" s="279"/>
      <c r="AL26" s="279" t="str">
        <f>IF(AB26="Y","단종모델",LEFT(N26,3)&amp;IFERROR(VLOOKUP(LEFT(N26,3)&amp;P26,#REF!,2,0),""))</f>
        <v>HDM</v>
      </c>
      <c r="AM26" s="469" t="str">
        <f t="shared" si="0"/>
        <v>싼타페 가솔린 터보 1.6 하이브리드 2WD  (5인승)</v>
      </c>
      <c r="AN26" s="279">
        <f t="shared" si="15"/>
        <v>42790000</v>
      </c>
      <c r="AO26" s="279">
        <f t="shared" si="16"/>
        <v>1598</v>
      </c>
      <c r="AP26" s="279" t="str">
        <f t="shared" si="17"/>
        <v>T</v>
      </c>
      <c r="AQ26" s="279">
        <f t="shared" si="18"/>
        <v>5</v>
      </c>
      <c r="AR26" s="279" t="str">
        <f t="shared" si="19"/>
        <v>RV</v>
      </c>
      <c r="AS26" s="279" t="str">
        <f t="shared" si="20"/>
        <v>승용</v>
      </c>
      <c r="AT26" s="279" t="str">
        <f t="shared" si="1"/>
        <v>7급</v>
      </c>
      <c r="AU26" s="279" t="str">
        <f t="shared" si="2"/>
        <v>02:울산</v>
      </c>
      <c r="AV26" s="279">
        <f t="shared" si="11"/>
        <v>0</v>
      </c>
      <c r="AW26" s="279" t="str">
        <f t="shared" si="3"/>
        <v>D</v>
      </c>
      <c r="AX26" s="279" t="str">
        <f t="shared" si="12"/>
        <v>전략P</v>
      </c>
      <c r="AY26" s="468">
        <v>2.5000000000000001E-2</v>
      </c>
      <c r="AZ26" s="468"/>
      <c r="BA26" s="279" t="s">
        <v>1687</v>
      </c>
      <c r="BB26" s="279" t="s">
        <v>1632</v>
      </c>
      <c r="BC26" s="279"/>
      <c r="BD26" s="279" t="s">
        <v>1184</v>
      </c>
      <c r="BE26" s="279" t="str">
        <f t="shared" si="4"/>
        <v>현대</v>
      </c>
      <c r="BF26" s="581">
        <v>4.1000000000000002E-2</v>
      </c>
      <c r="BG26" s="281">
        <v>80000</v>
      </c>
      <c r="BH26" s="281">
        <v>304000</v>
      </c>
      <c r="BI26" s="279"/>
      <c r="BJ26" s="279"/>
      <c r="BK26" s="279"/>
      <c r="BL26" s="279"/>
      <c r="BM26" s="279" t="s">
        <v>1547</v>
      </c>
      <c r="BN26" s="279"/>
      <c r="BO26" s="279"/>
      <c r="BP26" s="500">
        <f t="shared" si="13"/>
        <v>6.2E-2</v>
      </c>
      <c r="BQ26" s="973">
        <f t="shared" si="14"/>
        <v>5.5E-2</v>
      </c>
    </row>
    <row r="27" spans="1:69" s="460" customFormat="1" ht="15" customHeight="1">
      <c r="A27" s="281">
        <v>24</v>
      </c>
      <c r="B27" s="493">
        <v>443586301</v>
      </c>
      <c r="C27" s="493" t="s">
        <v>472</v>
      </c>
      <c r="D27" s="493" t="s">
        <v>528</v>
      </c>
      <c r="E27" s="493" t="s">
        <v>482</v>
      </c>
      <c r="F27" s="493" t="s">
        <v>474</v>
      </c>
      <c r="G27" s="493">
        <v>43830000</v>
      </c>
      <c r="H27" s="493">
        <v>1598</v>
      </c>
      <c r="I27" s="493">
        <v>0</v>
      </c>
      <c r="J27" s="493">
        <v>6</v>
      </c>
      <c r="K27" s="493" t="s">
        <v>495</v>
      </c>
      <c r="L27" s="493">
        <v>0</v>
      </c>
      <c r="M27" s="493" t="s">
        <v>95</v>
      </c>
      <c r="N27" s="493" t="s">
        <v>476</v>
      </c>
      <c r="O27" s="279" t="s">
        <v>100</v>
      </c>
      <c r="P27" s="493" t="s">
        <v>99</v>
      </c>
      <c r="Q27" s="493" t="s">
        <v>1337</v>
      </c>
      <c r="R27" s="493" t="s">
        <v>1173</v>
      </c>
      <c r="S27" s="493">
        <v>67</v>
      </c>
      <c r="T27" s="493">
        <v>0</v>
      </c>
      <c r="U27" s="493" t="s">
        <v>506</v>
      </c>
      <c r="V27" s="493" t="s">
        <v>506</v>
      </c>
      <c r="W27" s="493" t="s">
        <v>473</v>
      </c>
      <c r="X27" s="493" t="s">
        <v>478</v>
      </c>
      <c r="Y27" s="279"/>
      <c r="Z27" s="279"/>
      <c r="AA27" s="279"/>
      <c r="AB27" s="279" t="s">
        <v>479</v>
      </c>
      <c r="AC27" s="493" t="s">
        <v>490</v>
      </c>
      <c r="AD27" s="493" t="s">
        <v>491</v>
      </c>
      <c r="AE27" s="493">
        <v>86301</v>
      </c>
      <c r="AF27" s="493" t="s">
        <v>473</v>
      </c>
      <c r="AG27" s="493"/>
      <c r="AH27" s="493"/>
      <c r="AI27" s="1132">
        <v>20230816</v>
      </c>
      <c r="AJ27" s="462" t="s">
        <v>1152</v>
      </c>
      <c r="AK27" s="279"/>
      <c r="AL27" s="279" t="str">
        <f>IF(AB27="Y","단종모델",LEFT(N27,3)&amp;IFERROR(VLOOKUP(LEFT(N27,3)&amp;P27,#REF!,2,0),""))</f>
        <v>HDM</v>
      </c>
      <c r="AM27" s="469" t="str">
        <f t="shared" si="0"/>
        <v>싼타페 가솔린 터보 1.6 하이브리드 2WD  (6인승)</v>
      </c>
      <c r="AN27" s="279">
        <f t="shared" si="15"/>
        <v>43830000</v>
      </c>
      <c r="AO27" s="279">
        <f t="shared" si="16"/>
        <v>1598</v>
      </c>
      <c r="AP27" s="279" t="str">
        <f t="shared" si="17"/>
        <v>T</v>
      </c>
      <c r="AQ27" s="279">
        <f t="shared" si="18"/>
        <v>6</v>
      </c>
      <c r="AR27" s="279" t="str">
        <f t="shared" si="19"/>
        <v>RV</v>
      </c>
      <c r="AS27" s="279" t="str">
        <f t="shared" si="20"/>
        <v>승용</v>
      </c>
      <c r="AT27" s="279" t="str">
        <f t="shared" si="1"/>
        <v>7급</v>
      </c>
      <c r="AU27" s="279" t="str">
        <f t="shared" si="2"/>
        <v>02:울산</v>
      </c>
      <c r="AV27" s="279">
        <f t="shared" si="11"/>
        <v>0</v>
      </c>
      <c r="AW27" s="279" t="str">
        <f t="shared" si="3"/>
        <v>D</v>
      </c>
      <c r="AX27" s="279" t="str">
        <f t="shared" si="12"/>
        <v>전략P</v>
      </c>
      <c r="AY27" s="468">
        <v>2.5000000000000001E-2</v>
      </c>
      <c r="AZ27" s="468"/>
      <c r="BA27" s="279" t="s">
        <v>1687</v>
      </c>
      <c r="BB27" s="279" t="s">
        <v>1632</v>
      </c>
      <c r="BC27" s="279"/>
      <c r="BD27" s="279" t="s">
        <v>1184</v>
      </c>
      <c r="BE27" s="279" t="str">
        <f t="shared" si="4"/>
        <v>현대</v>
      </c>
      <c r="BF27" s="581">
        <v>4.1000000000000002E-2</v>
      </c>
      <c r="BG27" s="281">
        <v>80000</v>
      </c>
      <c r="BH27" s="281">
        <v>304000</v>
      </c>
      <c r="BI27" s="279"/>
      <c r="BJ27" s="279"/>
      <c r="BK27" s="279"/>
      <c r="BL27" s="279"/>
      <c r="BM27" s="279" t="s">
        <v>1547</v>
      </c>
      <c r="BN27" s="279"/>
      <c r="BO27" s="279"/>
      <c r="BP27" s="500">
        <f t="shared" si="13"/>
        <v>6.2E-2</v>
      </c>
      <c r="BQ27" s="973">
        <f t="shared" si="14"/>
        <v>5.5E-2</v>
      </c>
    </row>
    <row r="28" spans="1:69" s="460" customFormat="1" ht="15" customHeight="1">
      <c r="A28" s="281">
        <v>25</v>
      </c>
      <c r="B28" s="493">
        <v>443586302</v>
      </c>
      <c r="C28" s="493" t="s">
        <v>472</v>
      </c>
      <c r="D28" s="493" t="s">
        <v>528</v>
      </c>
      <c r="E28" s="493" t="s">
        <v>482</v>
      </c>
      <c r="F28" s="493" t="s">
        <v>474</v>
      </c>
      <c r="G28" s="493">
        <v>43480000</v>
      </c>
      <c r="H28" s="493">
        <v>1598</v>
      </c>
      <c r="I28" s="493">
        <v>0</v>
      </c>
      <c r="J28" s="493">
        <v>7</v>
      </c>
      <c r="K28" s="493" t="s">
        <v>495</v>
      </c>
      <c r="L28" s="493">
        <v>0</v>
      </c>
      <c r="M28" s="493" t="s">
        <v>95</v>
      </c>
      <c r="N28" s="493" t="s">
        <v>476</v>
      </c>
      <c r="O28" s="279" t="s">
        <v>100</v>
      </c>
      <c r="P28" s="493" t="s">
        <v>99</v>
      </c>
      <c r="Q28" s="493" t="s">
        <v>1337</v>
      </c>
      <c r="R28" s="493" t="s">
        <v>1174</v>
      </c>
      <c r="S28" s="493">
        <v>67</v>
      </c>
      <c r="T28" s="493">
        <v>0</v>
      </c>
      <c r="U28" s="493" t="s">
        <v>506</v>
      </c>
      <c r="V28" s="493" t="s">
        <v>506</v>
      </c>
      <c r="W28" s="493" t="s">
        <v>507</v>
      </c>
      <c r="X28" s="493" t="s">
        <v>478</v>
      </c>
      <c r="Y28" s="279"/>
      <c r="Z28" s="279"/>
      <c r="AA28" s="279"/>
      <c r="AB28" s="279" t="s">
        <v>479</v>
      </c>
      <c r="AC28" s="493" t="s">
        <v>490</v>
      </c>
      <c r="AD28" s="493" t="s">
        <v>491</v>
      </c>
      <c r="AE28" s="493">
        <v>86302</v>
      </c>
      <c r="AF28" s="493" t="s">
        <v>507</v>
      </c>
      <c r="AG28" s="493"/>
      <c r="AH28" s="493"/>
      <c r="AI28" s="1132">
        <v>20230816</v>
      </c>
      <c r="AJ28" s="462" t="s">
        <v>1152</v>
      </c>
      <c r="AK28" s="279"/>
      <c r="AL28" s="279" t="str">
        <f>IF(AB28="Y","단종모델",LEFT(N28,3)&amp;IFERROR(VLOOKUP(LEFT(N28,3)&amp;P28,#REF!,2,0),""))</f>
        <v>HDM</v>
      </c>
      <c r="AM28" s="469" t="str">
        <f t="shared" si="0"/>
        <v>싼타페 가솔린 터보 1.6 하이브리드 2WD  (7인승)</v>
      </c>
      <c r="AN28" s="279">
        <f t="shared" si="15"/>
        <v>43480000</v>
      </c>
      <c r="AO28" s="279">
        <f t="shared" si="16"/>
        <v>1598</v>
      </c>
      <c r="AP28" s="279" t="str">
        <f t="shared" si="17"/>
        <v>T</v>
      </c>
      <c r="AQ28" s="279">
        <f t="shared" si="18"/>
        <v>7</v>
      </c>
      <c r="AR28" s="279" t="str">
        <f t="shared" si="19"/>
        <v>RV</v>
      </c>
      <c r="AS28" s="279" t="str">
        <f t="shared" si="20"/>
        <v>다인승</v>
      </c>
      <c r="AT28" s="279" t="str">
        <f t="shared" si="1"/>
        <v>7급</v>
      </c>
      <c r="AU28" s="279" t="str">
        <f t="shared" si="2"/>
        <v>02:울산</v>
      </c>
      <c r="AV28" s="279">
        <f t="shared" si="11"/>
        <v>0</v>
      </c>
      <c r="AW28" s="279" t="str">
        <f t="shared" si="3"/>
        <v>D</v>
      </c>
      <c r="AX28" s="279" t="str">
        <f t="shared" si="12"/>
        <v>전략P</v>
      </c>
      <c r="AY28" s="468">
        <v>2.5000000000000001E-2</v>
      </c>
      <c r="AZ28" s="468"/>
      <c r="BA28" s="279" t="s">
        <v>1687</v>
      </c>
      <c r="BB28" s="279" t="s">
        <v>1632</v>
      </c>
      <c r="BC28" s="279"/>
      <c r="BD28" s="279" t="s">
        <v>1184</v>
      </c>
      <c r="BE28" s="279" t="str">
        <f t="shared" si="4"/>
        <v>현대</v>
      </c>
      <c r="BF28" s="581">
        <v>4.1000000000000002E-2</v>
      </c>
      <c r="BG28" s="281">
        <v>80000</v>
      </c>
      <c r="BH28" s="281">
        <v>304000</v>
      </c>
      <c r="BI28" s="279"/>
      <c r="BJ28" s="279"/>
      <c r="BK28" s="279"/>
      <c r="BL28" s="279"/>
      <c r="BM28" s="279" t="s">
        <v>1547</v>
      </c>
      <c r="BN28" s="279"/>
      <c r="BO28" s="279"/>
      <c r="BP28" s="500">
        <f t="shared" si="13"/>
        <v>6.2E-2</v>
      </c>
      <c r="BQ28" s="973">
        <f t="shared" si="14"/>
        <v>5.5E-2</v>
      </c>
    </row>
    <row r="29" spans="1:69" s="460" customFormat="1" ht="15" customHeight="1">
      <c r="A29" s="281">
        <v>26</v>
      </c>
      <c r="B29" s="493">
        <v>443586308</v>
      </c>
      <c r="C29" s="493" t="s">
        <v>472</v>
      </c>
      <c r="D29" s="493" t="s">
        <v>528</v>
      </c>
      <c r="E29" s="493" t="s">
        <v>482</v>
      </c>
      <c r="F29" s="493" t="s">
        <v>474</v>
      </c>
      <c r="G29" s="493">
        <v>45020000</v>
      </c>
      <c r="H29" s="493">
        <v>1598</v>
      </c>
      <c r="I29" s="493">
        <v>0</v>
      </c>
      <c r="J29" s="493">
        <v>5</v>
      </c>
      <c r="K29" s="493" t="s">
        <v>475</v>
      </c>
      <c r="L29" s="493">
        <v>0</v>
      </c>
      <c r="M29" s="493" t="s">
        <v>95</v>
      </c>
      <c r="N29" s="493" t="s">
        <v>476</v>
      </c>
      <c r="O29" s="279" t="s">
        <v>100</v>
      </c>
      <c r="P29" s="493" t="s">
        <v>99</v>
      </c>
      <c r="Q29" s="493" t="s">
        <v>1338</v>
      </c>
      <c r="R29" s="493" t="s">
        <v>1172</v>
      </c>
      <c r="S29" s="493">
        <v>67</v>
      </c>
      <c r="T29" s="493">
        <v>0</v>
      </c>
      <c r="U29" s="493" t="s">
        <v>506</v>
      </c>
      <c r="V29" s="493" t="s">
        <v>506</v>
      </c>
      <c r="W29" s="493" t="s">
        <v>473</v>
      </c>
      <c r="X29" s="493" t="s">
        <v>478</v>
      </c>
      <c r="Y29" s="279"/>
      <c r="Z29" s="279"/>
      <c r="AA29" s="279"/>
      <c r="AB29" s="279" t="s">
        <v>479</v>
      </c>
      <c r="AC29" s="493" t="s">
        <v>490</v>
      </c>
      <c r="AD29" s="493" t="s">
        <v>491</v>
      </c>
      <c r="AE29" s="493">
        <v>86308</v>
      </c>
      <c r="AF29" s="493" t="s">
        <v>473</v>
      </c>
      <c r="AG29" s="493"/>
      <c r="AH29" s="493"/>
      <c r="AI29" s="1132">
        <v>20230816</v>
      </c>
      <c r="AJ29" s="462" t="s">
        <v>1152</v>
      </c>
      <c r="AK29" s="279"/>
      <c r="AL29" s="279" t="str">
        <f>IF(AB29="Y","단종모델",LEFT(N29,3)&amp;IFERROR(VLOOKUP(LEFT(N29,3)&amp;P29,#REF!,2,0),""))</f>
        <v>HDM</v>
      </c>
      <c r="AM29" s="469" t="str">
        <f t="shared" si="0"/>
        <v>싼타페 가솔린 터보 1.6 하이브리드 AWD  (5인승)</v>
      </c>
      <c r="AN29" s="279">
        <f t="shared" si="15"/>
        <v>45020000</v>
      </c>
      <c r="AO29" s="279">
        <f t="shared" si="16"/>
        <v>1598</v>
      </c>
      <c r="AP29" s="279" t="str">
        <f t="shared" si="17"/>
        <v>M</v>
      </c>
      <c r="AQ29" s="279">
        <f t="shared" si="18"/>
        <v>5</v>
      </c>
      <c r="AR29" s="279" t="str">
        <f t="shared" si="19"/>
        <v>RV</v>
      </c>
      <c r="AS29" s="279" t="str">
        <f t="shared" si="20"/>
        <v>승용</v>
      </c>
      <c r="AT29" s="279" t="str">
        <f t="shared" si="1"/>
        <v>7급</v>
      </c>
      <c r="AU29" s="279" t="str">
        <f t="shared" si="2"/>
        <v>02:울산</v>
      </c>
      <c r="AV29" s="279">
        <f t="shared" si="11"/>
        <v>0</v>
      </c>
      <c r="AW29" s="279" t="str">
        <f t="shared" si="3"/>
        <v>D</v>
      </c>
      <c r="AX29" s="279" t="str">
        <f t="shared" si="12"/>
        <v>전략P</v>
      </c>
      <c r="AY29" s="468">
        <v>2.5000000000000001E-2</v>
      </c>
      <c r="AZ29" s="468"/>
      <c r="BA29" s="279" t="s">
        <v>1687</v>
      </c>
      <c r="BB29" s="279" t="s">
        <v>1632</v>
      </c>
      <c r="BC29" s="279"/>
      <c r="BD29" s="279" t="s">
        <v>1184</v>
      </c>
      <c r="BE29" s="279" t="str">
        <f t="shared" si="4"/>
        <v>현대</v>
      </c>
      <c r="BF29" s="581">
        <v>4.1000000000000002E-2</v>
      </c>
      <c r="BG29" s="281">
        <v>80000</v>
      </c>
      <c r="BH29" s="281">
        <v>304000</v>
      </c>
      <c r="BI29" s="279"/>
      <c r="BJ29" s="279"/>
      <c r="BK29" s="279"/>
      <c r="BL29" s="279"/>
      <c r="BM29" s="279" t="s">
        <v>1547</v>
      </c>
      <c r="BN29" s="279"/>
      <c r="BO29" s="279"/>
      <c r="BP29" s="500">
        <f t="shared" si="13"/>
        <v>6.2E-2</v>
      </c>
      <c r="BQ29" s="973">
        <f t="shared" si="14"/>
        <v>5.5E-2</v>
      </c>
    </row>
    <row r="30" spans="1:69" s="460" customFormat="1" ht="15" customHeight="1">
      <c r="A30" s="281">
        <v>27</v>
      </c>
      <c r="B30" s="493">
        <v>443586309</v>
      </c>
      <c r="C30" s="493" t="s">
        <v>472</v>
      </c>
      <c r="D30" s="493" t="s">
        <v>528</v>
      </c>
      <c r="E30" s="493" t="s">
        <v>482</v>
      </c>
      <c r="F30" s="493" t="s">
        <v>474</v>
      </c>
      <c r="G30" s="493">
        <v>46060000</v>
      </c>
      <c r="H30" s="493">
        <v>1598</v>
      </c>
      <c r="I30" s="493">
        <v>0</v>
      </c>
      <c r="J30" s="493">
        <v>6</v>
      </c>
      <c r="K30" s="493" t="s">
        <v>475</v>
      </c>
      <c r="L30" s="493">
        <v>0</v>
      </c>
      <c r="M30" s="493" t="s">
        <v>95</v>
      </c>
      <c r="N30" s="493" t="s">
        <v>476</v>
      </c>
      <c r="O30" s="279" t="s">
        <v>100</v>
      </c>
      <c r="P30" s="493" t="s">
        <v>99</v>
      </c>
      <c r="Q30" s="493" t="s">
        <v>1338</v>
      </c>
      <c r="R30" s="493" t="s">
        <v>1173</v>
      </c>
      <c r="S30" s="493">
        <v>67</v>
      </c>
      <c r="T30" s="493">
        <v>0</v>
      </c>
      <c r="U30" s="493" t="s">
        <v>506</v>
      </c>
      <c r="V30" s="493" t="s">
        <v>506</v>
      </c>
      <c r="W30" s="493" t="s">
        <v>473</v>
      </c>
      <c r="X30" s="493" t="s">
        <v>478</v>
      </c>
      <c r="Y30" s="279"/>
      <c r="Z30" s="279"/>
      <c r="AA30" s="279"/>
      <c r="AB30" s="279" t="s">
        <v>479</v>
      </c>
      <c r="AC30" s="493" t="s">
        <v>490</v>
      </c>
      <c r="AD30" s="493" t="s">
        <v>491</v>
      </c>
      <c r="AE30" s="493">
        <v>86309</v>
      </c>
      <c r="AF30" s="493" t="s">
        <v>473</v>
      </c>
      <c r="AG30" s="493"/>
      <c r="AH30" s="493"/>
      <c r="AI30" s="1132">
        <v>20230816</v>
      </c>
      <c r="AJ30" s="462" t="s">
        <v>1152</v>
      </c>
      <c r="AK30" s="279"/>
      <c r="AL30" s="279" t="str">
        <f>IF(AB30="Y","단종모델",LEFT(N30,3)&amp;IFERROR(VLOOKUP(LEFT(N30,3)&amp;P30,#REF!,2,0),""))</f>
        <v>HDM</v>
      </c>
      <c r="AM30" s="469" t="str">
        <f t="shared" si="0"/>
        <v>싼타페 가솔린 터보 1.6 하이브리드 AWD  (6인승)</v>
      </c>
      <c r="AN30" s="279">
        <f t="shared" si="15"/>
        <v>46060000</v>
      </c>
      <c r="AO30" s="279">
        <f t="shared" si="16"/>
        <v>1598</v>
      </c>
      <c r="AP30" s="279" t="str">
        <f t="shared" si="17"/>
        <v>M</v>
      </c>
      <c r="AQ30" s="279">
        <f t="shared" si="18"/>
        <v>6</v>
      </c>
      <c r="AR30" s="279" t="str">
        <f t="shared" si="19"/>
        <v>RV</v>
      </c>
      <c r="AS30" s="279" t="str">
        <f t="shared" si="20"/>
        <v>승용</v>
      </c>
      <c r="AT30" s="279" t="str">
        <f t="shared" si="1"/>
        <v>7급</v>
      </c>
      <c r="AU30" s="279" t="str">
        <f t="shared" si="2"/>
        <v>02:울산</v>
      </c>
      <c r="AV30" s="279">
        <f t="shared" si="11"/>
        <v>0</v>
      </c>
      <c r="AW30" s="279" t="str">
        <f t="shared" si="3"/>
        <v>D</v>
      </c>
      <c r="AX30" s="279" t="str">
        <f t="shared" si="12"/>
        <v>전략P</v>
      </c>
      <c r="AY30" s="468">
        <v>2.5000000000000001E-2</v>
      </c>
      <c r="AZ30" s="468"/>
      <c r="BA30" s="279" t="s">
        <v>1687</v>
      </c>
      <c r="BB30" s="279" t="s">
        <v>1632</v>
      </c>
      <c r="BC30" s="279"/>
      <c r="BD30" s="279" t="s">
        <v>1184</v>
      </c>
      <c r="BE30" s="279" t="str">
        <f t="shared" si="4"/>
        <v>현대</v>
      </c>
      <c r="BF30" s="581">
        <v>4.1000000000000002E-2</v>
      </c>
      <c r="BG30" s="281">
        <v>80000</v>
      </c>
      <c r="BH30" s="281">
        <v>304000</v>
      </c>
      <c r="BI30" s="279"/>
      <c r="BJ30" s="279"/>
      <c r="BK30" s="279"/>
      <c r="BL30" s="279"/>
      <c r="BM30" s="279" t="s">
        <v>1547</v>
      </c>
      <c r="BN30" s="279"/>
      <c r="BO30" s="279"/>
      <c r="BP30" s="500">
        <f t="shared" si="13"/>
        <v>6.2E-2</v>
      </c>
      <c r="BQ30" s="973">
        <f t="shared" si="14"/>
        <v>5.5E-2</v>
      </c>
    </row>
    <row r="31" spans="1:69" s="460" customFormat="1" ht="15" customHeight="1">
      <c r="A31" s="281">
        <v>28</v>
      </c>
      <c r="B31" s="493">
        <v>443586310</v>
      </c>
      <c r="C31" s="493" t="s">
        <v>472</v>
      </c>
      <c r="D31" s="493" t="s">
        <v>528</v>
      </c>
      <c r="E31" s="493" t="s">
        <v>482</v>
      </c>
      <c r="F31" s="493" t="s">
        <v>474</v>
      </c>
      <c r="G31" s="493">
        <v>45710000</v>
      </c>
      <c r="H31" s="493">
        <v>1598</v>
      </c>
      <c r="I31" s="493">
        <v>0</v>
      </c>
      <c r="J31" s="493">
        <v>7</v>
      </c>
      <c r="K31" s="493" t="s">
        <v>475</v>
      </c>
      <c r="L31" s="493">
        <v>0</v>
      </c>
      <c r="M31" s="493" t="s">
        <v>95</v>
      </c>
      <c r="N31" s="493" t="s">
        <v>476</v>
      </c>
      <c r="O31" s="279" t="s">
        <v>100</v>
      </c>
      <c r="P31" s="493" t="s">
        <v>99</v>
      </c>
      <c r="Q31" s="493" t="s">
        <v>1338</v>
      </c>
      <c r="R31" s="493" t="s">
        <v>1174</v>
      </c>
      <c r="S31" s="493">
        <v>67</v>
      </c>
      <c r="T31" s="493">
        <v>0</v>
      </c>
      <c r="U31" s="493" t="s">
        <v>506</v>
      </c>
      <c r="V31" s="493" t="s">
        <v>506</v>
      </c>
      <c r="W31" s="493" t="s">
        <v>507</v>
      </c>
      <c r="X31" s="493" t="s">
        <v>478</v>
      </c>
      <c r="Y31" s="279"/>
      <c r="Z31" s="279"/>
      <c r="AA31" s="279"/>
      <c r="AB31" s="279" t="s">
        <v>479</v>
      </c>
      <c r="AC31" s="493" t="s">
        <v>490</v>
      </c>
      <c r="AD31" s="493" t="s">
        <v>491</v>
      </c>
      <c r="AE31" s="493">
        <v>86310</v>
      </c>
      <c r="AF31" s="493" t="s">
        <v>507</v>
      </c>
      <c r="AG31" s="493"/>
      <c r="AH31" s="493"/>
      <c r="AI31" s="1132">
        <v>20230816</v>
      </c>
      <c r="AJ31" s="462" t="s">
        <v>1152</v>
      </c>
      <c r="AK31" s="279"/>
      <c r="AL31" s="279" t="str">
        <f>IF(AB31="Y","단종모델",LEFT(N31,3)&amp;IFERROR(VLOOKUP(LEFT(N31,3)&amp;P31,#REF!,2,0),""))</f>
        <v>HDM</v>
      </c>
      <c r="AM31" s="469" t="str">
        <f t="shared" si="0"/>
        <v>싼타페 가솔린 터보 1.6 하이브리드 AWD  (7인승)</v>
      </c>
      <c r="AN31" s="279">
        <f t="shared" si="15"/>
        <v>45710000</v>
      </c>
      <c r="AO31" s="279">
        <f t="shared" si="16"/>
        <v>1598</v>
      </c>
      <c r="AP31" s="279" t="str">
        <f t="shared" si="17"/>
        <v>M</v>
      </c>
      <c r="AQ31" s="279">
        <f t="shared" si="18"/>
        <v>7</v>
      </c>
      <c r="AR31" s="279" t="str">
        <f t="shared" si="19"/>
        <v>RV</v>
      </c>
      <c r="AS31" s="279" t="str">
        <f t="shared" si="20"/>
        <v>다인승</v>
      </c>
      <c r="AT31" s="279" t="str">
        <f t="shared" si="1"/>
        <v>7급</v>
      </c>
      <c r="AU31" s="279" t="str">
        <f t="shared" si="2"/>
        <v>02:울산</v>
      </c>
      <c r="AV31" s="279">
        <f t="shared" si="11"/>
        <v>0</v>
      </c>
      <c r="AW31" s="279" t="str">
        <f t="shared" si="3"/>
        <v>D</v>
      </c>
      <c r="AX31" s="279" t="str">
        <f t="shared" si="12"/>
        <v>전략P</v>
      </c>
      <c r="AY31" s="468">
        <v>2.5000000000000001E-2</v>
      </c>
      <c r="AZ31" s="468"/>
      <c r="BA31" s="279" t="s">
        <v>1687</v>
      </c>
      <c r="BB31" s="279" t="s">
        <v>1632</v>
      </c>
      <c r="BC31" s="279"/>
      <c r="BD31" s="279" t="s">
        <v>1184</v>
      </c>
      <c r="BE31" s="279" t="str">
        <f t="shared" si="4"/>
        <v>현대</v>
      </c>
      <c r="BF31" s="581">
        <v>4.1000000000000002E-2</v>
      </c>
      <c r="BG31" s="281">
        <v>80000</v>
      </c>
      <c r="BH31" s="281">
        <v>304000</v>
      </c>
      <c r="BI31" s="279"/>
      <c r="BJ31" s="279"/>
      <c r="BK31" s="279"/>
      <c r="BL31" s="279"/>
      <c r="BM31" s="279" t="s">
        <v>1547</v>
      </c>
      <c r="BN31" s="279"/>
      <c r="BO31" s="279"/>
      <c r="BP31" s="500">
        <f t="shared" si="13"/>
        <v>6.2E-2</v>
      </c>
      <c r="BQ31" s="973">
        <f t="shared" si="14"/>
        <v>5.5E-2</v>
      </c>
    </row>
    <row r="32" spans="1:69" s="460" customFormat="1" ht="15" customHeight="1">
      <c r="A32" s="281">
        <v>29</v>
      </c>
      <c r="B32" s="282">
        <v>469989369</v>
      </c>
      <c r="C32" s="282" t="s">
        <v>472</v>
      </c>
      <c r="D32" s="282" t="s">
        <v>528</v>
      </c>
      <c r="E32" s="282" t="s">
        <v>482</v>
      </c>
      <c r="F32" s="282" t="s">
        <v>474</v>
      </c>
      <c r="G32" s="282">
        <v>43830000</v>
      </c>
      <c r="H32" s="284">
        <v>2497</v>
      </c>
      <c r="I32" s="282">
        <v>0</v>
      </c>
      <c r="J32" s="282">
        <v>9</v>
      </c>
      <c r="K32" s="282" t="s">
        <v>475</v>
      </c>
      <c r="L32" s="282">
        <v>0</v>
      </c>
      <c r="M32" s="282" t="s">
        <v>95</v>
      </c>
      <c r="N32" s="282" t="s">
        <v>476</v>
      </c>
      <c r="O32" s="282" t="s">
        <v>1927</v>
      </c>
      <c r="P32" s="282" t="s">
        <v>107</v>
      </c>
      <c r="Q32" s="282" t="s">
        <v>1928</v>
      </c>
      <c r="R32" s="282" t="s">
        <v>1430</v>
      </c>
      <c r="S32" s="282">
        <v>72</v>
      </c>
      <c r="T32" s="282">
        <v>9.6999999999999993</v>
      </c>
      <c r="U32" s="282"/>
      <c r="V32" s="282"/>
      <c r="W32" s="282" t="s">
        <v>554</v>
      </c>
      <c r="X32" s="282" t="s">
        <v>484</v>
      </c>
      <c r="Y32" s="282"/>
      <c r="Z32" s="282"/>
      <c r="AA32" s="282"/>
      <c r="AB32" s="279" t="s">
        <v>479</v>
      </c>
      <c r="AC32" s="282" t="s">
        <v>490</v>
      </c>
      <c r="AD32" s="282" t="s">
        <v>491</v>
      </c>
      <c r="AE32" s="282">
        <v>89369</v>
      </c>
      <c r="AF32" s="282" t="s">
        <v>507</v>
      </c>
      <c r="AG32" s="279"/>
      <c r="AH32" s="279">
        <v>0</v>
      </c>
      <c r="AI32" s="279">
        <v>20250106</v>
      </c>
      <c r="AJ32" s="462" t="s">
        <v>1152</v>
      </c>
      <c r="AK32" s="279"/>
      <c r="AL32" s="279" t="str">
        <f>IF(AB32="Y","단종모델",LEFT(N32,3)&amp;IFERROR(VLOOKUP(LEFT(N32,3)&amp;P32,#REF!,2,0),""))</f>
        <v>HDM</v>
      </c>
      <c r="AM32" s="469" t="str">
        <f t="shared" si="0"/>
        <v>디 올 뉴 팰리세이드 2025년형 가솔린 터보 2.5 (9인승) 2WD</v>
      </c>
      <c r="AN32" s="279">
        <f t="shared" si="5"/>
        <v>43830000</v>
      </c>
      <c r="AO32" s="279">
        <f t="shared" si="6"/>
        <v>2497</v>
      </c>
      <c r="AP32" s="279" t="str">
        <f t="shared" si="7"/>
        <v>M</v>
      </c>
      <c r="AQ32" s="279">
        <f t="shared" si="8"/>
        <v>9</v>
      </c>
      <c r="AR32" s="279" t="str">
        <f t="shared" si="9"/>
        <v>RV</v>
      </c>
      <c r="AS32" s="279" t="str">
        <f t="shared" si="10"/>
        <v>다인승</v>
      </c>
      <c r="AT32" s="279" t="str">
        <f t="shared" si="1"/>
        <v>7급</v>
      </c>
      <c r="AU32" s="279" t="str">
        <f t="shared" si="2"/>
        <v>02:울산</v>
      </c>
      <c r="AV32" s="279">
        <f t="shared" si="11"/>
        <v>0</v>
      </c>
      <c r="AW32" s="279" t="str">
        <f t="shared" si="3"/>
        <v>D</v>
      </c>
      <c r="AX32" s="279" t="str">
        <f t="shared" si="12"/>
        <v>전략P</v>
      </c>
      <c r="AY32" s="468">
        <v>1.4999999999999999E-2</v>
      </c>
      <c r="AZ32" s="468"/>
      <c r="BA32" s="279" t="s">
        <v>1563</v>
      </c>
      <c r="BB32" s="279" t="s">
        <v>1649</v>
      </c>
      <c r="BC32" s="279"/>
      <c r="BD32" s="279" t="s">
        <v>1184</v>
      </c>
      <c r="BE32" s="279" t="str">
        <f t="shared" si="4"/>
        <v>현대</v>
      </c>
      <c r="BF32" s="581">
        <v>4.1000000000000002E-2</v>
      </c>
      <c r="BG32" s="281">
        <v>81000</v>
      </c>
      <c r="BH32" s="281">
        <v>291000</v>
      </c>
      <c r="BI32" s="279"/>
      <c r="BJ32" s="279"/>
      <c r="BK32" s="279"/>
      <c r="BL32" s="279"/>
      <c r="BM32" s="279" t="s">
        <v>1547</v>
      </c>
      <c r="BN32" s="279"/>
      <c r="BO32" s="279"/>
      <c r="BP32" s="500">
        <f t="shared" si="13"/>
        <v>6.2E-2</v>
      </c>
      <c r="BQ32" s="973">
        <f t="shared" si="14"/>
        <v>5.5E-2</v>
      </c>
    </row>
    <row r="33" spans="1:69" s="460" customFormat="1" ht="15" customHeight="1">
      <c r="A33" s="281">
        <v>30</v>
      </c>
      <c r="B33" s="282">
        <v>469989370</v>
      </c>
      <c r="C33" s="282" t="s">
        <v>472</v>
      </c>
      <c r="D33" s="282" t="s">
        <v>528</v>
      </c>
      <c r="E33" s="282" t="s">
        <v>482</v>
      </c>
      <c r="F33" s="282" t="s">
        <v>474</v>
      </c>
      <c r="G33" s="282">
        <v>46110000</v>
      </c>
      <c r="H33" s="284">
        <v>2497</v>
      </c>
      <c r="I33" s="282">
        <v>0</v>
      </c>
      <c r="J33" s="282">
        <v>9</v>
      </c>
      <c r="K33" s="282" t="s">
        <v>475</v>
      </c>
      <c r="L33" s="282">
        <v>0</v>
      </c>
      <c r="M33" s="282" t="s">
        <v>95</v>
      </c>
      <c r="N33" s="282" t="s">
        <v>476</v>
      </c>
      <c r="O33" s="282" t="s">
        <v>1927</v>
      </c>
      <c r="P33" s="282" t="s">
        <v>107</v>
      </c>
      <c r="Q33" s="282" t="s">
        <v>1928</v>
      </c>
      <c r="R33" s="282" t="s">
        <v>1491</v>
      </c>
      <c r="S33" s="282">
        <v>72</v>
      </c>
      <c r="T33" s="282">
        <v>8.6</v>
      </c>
      <c r="U33" s="282"/>
      <c r="V33" s="282"/>
      <c r="W33" s="282" t="s">
        <v>554</v>
      </c>
      <c r="X33" s="282" t="s">
        <v>484</v>
      </c>
      <c r="Y33" s="282"/>
      <c r="Z33" s="282"/>
      <c r="AA33" s="282"/>
      <c r="AB33" s="279" t="s">
        <v>479</v>
      </c>
      <c r="AC33" s="282" t="s">
        <v>490</v>
      </c>
      <c r="AD33" s="282" t="s">
        <v>491</v>
      </c>
      <c r="AE33" s="282">
        <v>89370</v>
      </c>
      <c r="AF33" s="282" t="s">
        <v>507</v>
      </c>
      <c r="AG33" s="279"/>
      <c r="AH33" s="279">
        <v>0</v>
      </c>
      <c r="AI33" s="279">
        <v>20250106</v>
      </c>
      <c r="AJ33" s="462" t="s">
        <v>1152</v>
      </c>
      <c r="AK33" s="279"/>
      <c r="AL33" s="279" t="str">
        <f>IF(AB33="Y","단종모델",LEFT(N33,3)&amp;IFERROR(VLOOKUP(LEFT(N33,3)&amp;P33,#REF!,2,0),""))</f>
        <v>HDM</v>
      </c>
      <c r="AM33" s="469" t="str">
        <f t="shared" ref="AM33" si="21">O33&amp;" "&amp;Q33&amp;" "&amp;R33</f>
        <v>디 올 뉴 팰리세이드 2025년형 가솔린 터보 2.5 (9인승) 4WD</v>
      </c>
      <c r="AN33" s="279">
        <f t="shared" ref="AN33" si="22">G33</f>
        <v>46110000</v>
      </c>
      <c r="AO33" s="279">
        <f t="shared" ref="AO33" si="23">H33</f>
        <v>2497</v>
      </c>
      <c r="AP33" s="279" t="str">
        <f t="shared" ref="AP33" si="24">LEFT(K33,1)</f>
        <v>M</v>
      </c>
      <c r="AQ33" s="279">
        <f t="shared" ref="AQ33" si="25">J33</f>
        <v>9</v>
      </c>
      <c r="AR33" s="279" t="str">
        <f t="shared" ref="AR33" si="26">RIGHT(D33,2)</f>
        <v>RV</v>
      </c>
      <c r="AS33" s="279" t="str">
        <f t="shared" ref="AS33" si="27">MID(W33,4,3)</f>
        <v>다인승</v>
      </c>
      <c r="AT33" s="279" t="str">
        <f t="shared" ref="AT33" si="28">RIGHT(AC33,2)</f>
        <v>7급</v>
      </c>
      <c r="AU33" s="279" t="str">
        <f t="shared" ref="AU33" si="29">AB33</f>
        <v>02:울산</v>
      </c>
      <c r="AV33" s="279">
        <f t="shared" ref="AV33" si="30">IF(AND(BE33="기아",AQ33&lt;7),1900,IF(AND(BE33="기아",AQ33&gt;6,AQ33&lt;11),2500,IF(AND(BE33="기아",AQ33&gt;10),3500,IF(AND(BE33="KG모빌리티",AQ33&lt;7),3650,IF(AND(BE33="KG모빌리티",AQ33&gt;6),4300,0)))))</f>
        <v>0</v>
      </c>
      <c r="AW33" s="279" t="str">
        <f t="shared" ref="AW33" si="31">LEFT(F33,1)</f>
        <v>D</v>
      </c>
      <c r="AX33" s="279" t="str">
        <f t="shared" ref="AX33" si="32">AJ33</f>
        <v>전략P</v>
      </c>
      <c r="AY33" s="468">
        <v>1.4999999999999999E-2</v>
      </c>
      <c r="AZ33" s="468"/>
      <c r="BA33" s="279" t="s">
        <v>1563</v>
      </c>
      <c r="BB33" s="279" t="s">
        <v>1649</v>
      </c>
      <c r="BC33" s="279"/>
      <c r="BD33" s="279" t="s">
        <v>1184</v>
      </c>
      <c r="BE33" s="279" t="str">
        <f t="shared" ref="BE33" si="33">M33</f>
        <v>현대</v>
      </c>
      <c r="BF33" s="581">
        <v>4.1000000000000002E-2</v>
      </c>
      <c r="BG33" s="281">
        <v>81000</v>
      </c>
      <c r="BH33" s="281">
        <v>291000</v>
      </c>
      <c r="BI33" s="279"/>
      <c r="BJ33" s="279"/>
      <c r="BK33" s="279"/>
      <c r="BL33" s="279"/>
      <c r="BM33" s="279" t="s">
        <v>1547</v>
      </c>
      <c r="BN33" s="279"/>
      <c r="BO33" s="279"/>
      <c r="BP33" s="500">
        <f t="shared" si="13"/>
        <v>6.2E-2</v>
      </c>
      <c r="BQ33" s="973">
        <f t="shared" ref="BQ33" si="34">BP33-0.007</f>
        <v>5.5E-2</v>
      </c>
    </row>
    <row r="34" spans="1:69" s="460" customFormat="1" ht="15" customHeight="1">
      <c r="A34" s="281">
        <v>31</v>
      </c>
      <c r="B34" s="282">
        <v>469989363</v>
      </c>
      <c r="C34" s="282" t="s">
        <v>472</v>
      </c>
      <c r="D34" s="282" t="s">
        <v>528</v>
      </c>
      <c r="E34" s="282" t="s">
        <v>482</v>
      </c>
      <c r="F34" s="282" t="s">
        <v>474</v>
      </c>
      <c r="G34" s="282">
        <v>45160000</v>
      </c>
      <c r="H34" s="284">
        <v>2497</v>
      </c>
      <c r="I34" s="282">
        <v>0</v>
      </c>
      <c r="J34" s="282">
        <v>7</v>
      </c>
      <c r="K34" s="282" t="s">
        <v>475</v>
      </c>
      <c r="L34" s="282">
        <v>0</v>
      </c>
      <c r="M34" s="282" t="s">
        <v>95</v>
      </c>
      <c r="N34" s="282" t="s">
        <v>476</v>
      </c>
      <c r="O34" s="282" t="s">
        <v>1927</v>
      </c>
      <c r="P34" s="282" t="s">
        <v>107</v>
      </c>
      <c r="Q34" s="282" t="s">
        <v>1929</v>
      </c>
      <c r="R34" s="282" t="s">
        <v>1430</v>
      </c>
      <c r="S34" s="282">
        <v>72</v>
      </c>
      <c r="T34" s="282">
        <v>9.6999999999999993</v>
      </c>
      <c r="U34" s="282"/>
      <c r="V34" s="282"/>
      <c r="W34" s="282" t="s">
        <v>507</v>
      </c>
      <c r="X34" s="282" t="s">
        <v>484</v>
      </c>
      <c r="Y34" s="282"/>
      <c r="Z34" s="282"/>
      <c r="AA34" s="282"/>
      <c r="AB34" s="279" t="s">
        <v>479</v>
      </c>
      <c r="AC34" s="282" t="s">
        <v>490</v>
      </c>
      <c r="AD34" s="282" t="s">
        <v>491</v>
      </c>
      <c r="AE34" s="282">
        <v>89363</v>
      </c>
      <c r="AF34" s="282" t="s">
        <v>507</v>
      </c>
      <c r="AG34" s="279"/>
      <c r="AH34" s="279">
        <v>0</v>
      </c>
      <c r="AI34" s="279">
        <v>20250106</v>
      </c>
      <c r="AJ34" s="462" t="s">
        <v>1152</v>
      </c>
      <c r="AK34" s="279"/>
      <c r="AL34" s="279" t="str">
        <f>IF(AB34="Y","단종모델",LEFT(N34,3)&amp;IFERROR(VLOOKUP(LEFT(N34,3)&amp;P34,#REF!,2,0),""))</f>
        <v>HDM</v>
      </c>
      <c r="AM34" s="469" t="str">
        <f t="shared" si="0"/>
        <v>디 올 뉴 팰리세이드 2025년형 가솔린 터보 2.5 (7인승) 2WD</v>
      </c>
      <c r="AN34" s="279">
        <f t="shared" si="5"/>
        <v>45160000</v>
      </c>
      <c r="AO34" s="279">
        <f t="shared" si="6"/>
        <v>2497</v>
      </c>
      <c r="AP34" s="279" t="str">
        <f t="shared" si="7"/>
        <v>M</v>
      </c>
      <c r="AQ34" s="279">
        <f t="shared" si="8"/>
        <v>7</v>
      </c>
      <c r="AR34" s="279" t="str">
        <f t="shared" si="9"/>
        <v>RV</v>
      </c>
      <c r="AS34" s="279" t="str">
        <f t="shared" si="10"/>
        <v>다인승</v>
      </c>
      <c r="AT34" s="279" t="str">
        <f t="shared" si="1"/>
        <v>7급</v>
      </c>
      <c r="AU34" s="279" t="str">
        <f t="shared" si="2"/>
        <v>02:울산</v>
      </c>
      <c r="AV34" s="279">
        <f t="shared" si="11"/>
        <v>0</v>
      </c>
      <c r="AW34" s="279" t="str">
        <f t="shared" si="3"/>
        <v>D</v>
      </c>
      <c r="AX34" s="279" t="str">
        <f t="shared" si="12"/>
        <v>전략P</v>
      </c>
      <c r="AY34" s="468">
        <v>1.4999999999999999E-2</v>
      </c>
      <c r="AZ34" s="468"/>
      <c r="BA34" s="279" t="s">
        <v>1563</v>
      </c>
      <c r="BB34" s="279" t="s">
        <v>1649</v>
      </c>
      <c r="BC34" s="279"/>
      <c r="BD34" s="279" t="s">
        <v>1184</v>
      </c>
      <c r="BE34" s="279" t="str">
        <f t="shared" si="4"/>
        <v>현대</v>
      </c>
      <c r="BF34" s="581">
        <v>4.1000000000000002E-2</v>
      </c>
      <c r="BG34" s="281">
        <v>81000</v>
      </c>
      <c r="BH34" s="281">
        <v>291000</v>
      </c>
      <c r="BI34" s="279"/>
      <c r="BJ34" s="279"/>
      <c r="BK34" s="279"/>
      <c r="BL34" s="279"/>
      <c r="BM34" s="279" t="s">
        <v>1547</v>
      </c>
      <c r="BN34" s="279"/>
      <c r="BO34" s="279"/>
      <c r="BP34" s="500">
        <f t="shared" si="13"/>
        <v>6.2E-2</v>
      </c>
      <c r="BQ34" s="973">
        <f t="shared" si="14"/>
        <v>5.5E-2</v>
      </c>
    </row>
    <row r="35" spans="1:69" s="460" customFormat="1" ht="15" customHeight="1">
      <c r="A35" s="281">
        <v>32</v>
      </c>
      <c r="B35" s="282">
        <v>469989364</v>
      </c>
      <c r="C35" s="282" t="s">
        <v>472</v>
      </c>
      <c r="D35" s="282" t="s">
        <v>528</v>
      </c>
      <c r="E35" s="282" t="s">
        <v>482</v>
      </c>
      <c r="F35" s="282" t="s">
        <v>474</v>
      </c>
      <c r="G35" s="282">
        <v>47560000</v>
      </c>
      <c r="H35" s="284">
        <v>2497</v>
      </c>
      <c r="I35" s="282">
        <v>0</v>
      </c>
      <c r="J35" s="282">
        <v>7</v>
      </c>
      <c r="K35" s="282" t="s">
        <v>475</v>
      </c>
      <c r="L35" s="282">
        <v>0</v>
      </c>
      <c r="M35" s="282" t="s">
        <v>95</v>
      </c>
      <c r="N35" s="282" t="s">
        <v>476</v>
      </c>
      <c r="O35" s="282" t="s">
        <v>1927</v>
      </c>
      <c r="P35" s="282" t="s">
        <v>107</v>
      </c>
      <c r="Q35" s="282" t="s">
        <v>1929</v>
      </c>
      <c r="R35" s="282" t="s">
        <v>1491</v>
      </c>
      <c r="S35" s="282">
        <v>72</v>
      </c>
      <c r="T35" s="282">
        <v>8.6999999999999993</v>
      </c>
      <c r="U35" s="282"/>
      <c r="V35" s="282"/>
      <c r="W35" s="282" t="s">
        <v>507</v>
      </c>
      <c r="X35" s="282" t="s">
        <v>484</v>
      </c>
      <c r="Y35" s="282"/>
      <c r="Z35" s="282"/>
      <c r="AA35" s="282"/>
      <c r="AB35" s="279" t="s">
        <v>479</v>
      </c>
      <c r="AC35" s="282" t="s">
        <v>490</v>
      </c>
      <c r="AD35" s="282" t="s">
        <v>491</v>
      </c>
      <c r="AE35" s="282">
        <v>89364</v>
      </c>
      <c r="AF35" s="282" t="s">
        <v>507</v>
      </c>
      <c r="AG35" s="279"/>
      <c r="AH35" s="279">
        <v>0</v>
      </c>
      <c r="AI35" s="279">
        <v>20250106</v>
      </c>
      <c r="AJ35" s="462" t="s">
        <v>1152</v>
      </c>
      <c r="AK35" s="279"/>
      <c r="AL35" s="279" t="str">
        <f>IF(AB35="Y","단종모델",LEFT(N35,3)&amp;IFERROR(VLOOKUP(LEFT(N35,3)&amp;P35,#REF!,2,0),""))</f>
        <v>HDM</v>
      </c>
      <c r="AM35" s="469" t="str">
        <f t="shared" ref="AM35" si="35">O35&amp;" "&amp;Q35&amp;" "&amp;R35</f>
        <v>디 올 뉴 팰리세이드 2025년형 가솔린 터보 2.5 (7인승) 4WD</v>
      </c>
      <c r="AN35" s="279">
        <f t="shared" ref="AN35" si="36">G35</f>
        <v>47560000</v>
      </c>
      <c r="AO35" s="279">
        <f t="shared" ref="AO35" si="37">H35</f>
        <v>2497</v>
      </c>
      <c r="AP35" s="279" t="str">
        <f t="shared" ref="AP35" si="38">LEFT(K35,1)</f>
        <v>M</v>
      </c>
      <c r="AQ35" s="279">
        <f t="shared" ref="AQ35" si="39">J35</f>
        <v>7</v>
      </c>
      <c r="AR35" s="279" t="str">
        <f t="shared" ref="AR35" si="40">RIGHT(D35,2)</f>
        <v>RV</v>
      </c>
      <c r="AS35" s="279" t="str">
        <f t="shared" ref="AS35" si="41">MID(W35,4,3)</f>
        <v>다인승</v>
      </c>
      <c r="AT35" s="279" t="str">
        <f t="shared" ref="AT35" si="42">RIGHT(AC35,2)</f>
        <v>7급</v>
      </c>
      <c r="AU35" s="279" t="str">
        <f t="shared" ref="AU35" si="43">AB35</f>
        <v>02:울산</v>
      </c>
      <c r="AV35" s="279">
        <f t="shared" ref="AV35" si="44">IF(AND(BE35="기아",AQ35&lt;7),1900,IF(AND(BE35="기아",AQ35&gt;6,AQ35&lt;11),2500,IF(AND(BE35="기아",AQ35&gt;10),3500,IF(AND(BE35="KG모빌리티",AQ35&lt;7),3650,IF(AND(BE35="KG모빌리티",AQ35&gt;6),4300,0)))))</f>
        <v>0</v>
      </c>
      <c r="AW35" s="279" t="str">
        <f t="shared" ref="AW35" si="45">LEFT(F35,1)</f>
        <v>D</v>
      </c>
      <c r="AX35" s="279" t="str">
        <f t="shared" ref="AX35" si="46">AJ35</f>
        <v>전략P</v>
      </c>
      <c r="AY35" s="468">
        <v>1.4999999999999999E-2</v>
      </c>
      <c r="AZ35" s="468"/>
      <c r="BA35" s="279" t="s">
        <v>1563</v>
      </c>
      <c r="BB35" s="279" t="s">
        <v>1649</v>
      </c>
      <c r="BC35" s="279"/>
      <c r="BD35" s="279" t="s">
        <v>1184</v>
      </c>
      <c r="BE35" s="279" t="str">
        <f t="shared" ref="BE35" si="47">M35</f>
        <v>현대</v>
      </c>
      <c r="BF35" s="581">
        <v>4.1000000000000002E-2</v>
      </c>
      <c r="BG35" s="281">
        <v>81000</v>
      </c>
      <c r="BH35" s="281">
        <v>291000</v>
      </c>
      <c r="BI35" s="279"/>
      <c r="BJ35" s="279"/>
      <c r="BK35" s="279"/>
      <c r="BL35" s="279"/>
      <c r="BM35" s="279" t="s">
        <v>1547</v>
      </c>
      <c r="BN35" s="279"/>
      <c r="BO35" s="279"/>
      <c r="BP35" s="500">
        <f t="shared" si="13"/>
        <v>6.2E-2</v>
      </c>
      <c r="BQ35" s="973">
        <f t="shared" ref="BQ35" si="48">BP35-0.007</f>
        <v>5.5E-2</v>
      </c>
    </row>
    <row r="36" spans="1:69" s="460" customFormat="1" ht="15" customHeight="1">
      <c r="A36" s="281">
        <v>33</v>
      </c>
      <c r="B36" s="282">
        <v>469989357</v>
      </c>
      <c r="C36" s="282" t="s">
        <v>472</v>
      </c>
      <c r="D36" s="282" t="s">
        <v>528</v>
      </c>
      <c r="E36" s="282" t="s">
        <v>482</v>
      </c>
      <c r="F36" s="282" t="s">
        <v>474</v>
      </c>
      <c r="G36" s="282">
        <v>49820000</v>
      </c>
      <c r="H36" s="284">
        <v>2497</v>
      </c>
      <c r="I36" s="282">
        <v>0</v>
      </c>
      <c r="J36" s="282">
        <v>9</v>
      </c>
      <c r="K36" s="282" t="s">
        <v>1932</v>
      </c>
      <c r="L36" s="282">
        <v>0</v>
      </c>
      <c r="M36" s="282" t="s">
        <v>95</v>
      </c>
      <c r="N36" s="282" t="s">
        <v>476</v>
      </c>
      <c r="O36" s="282" t="s">
        <v>1927</v>
      </c>
      <c r="P36" s="282" t="s">
        <v>107</v>
      </c>
      <c r="Q36" s="282" t="s">
        <v>1930</v>
      </c>
      <c r="R36" s="282" t="s">
        <v>1430</v>
      </c>
      <c r="S36" s="282">
        <v>72</v>
      </c>
      <c r="T36" s="282">
        <v>0</v>
      </c>
      <c r="U36" s="282"/>
      <c r="V36" s="282"/>
      <c r="W36" s="282" t="s">
        <v>554</v>
      </c>
      <c r="X36" s="282" t="s">
        <v>484</v>
      </c>
      <c r="Y36" s="282"/>
      <c r="Z36" s="282"/>
      <c r="AA36" s="282"/>
      <c r="AB36" s="279" t="s">
        <v>479</v>
      </c>
      <c r="AC36" s="282" t="s">
        <v>490</v>
      </c>
      <c r="AD36" s="282" t="s">
        <v>491</v>
      </c>
      <c r="AE36" s="282">
        <v>89357</v>
      </c>
      <c r="AF36" s="282" t="s">
        <v>507</v>
      </c>
      <c r="AG36" s="279"/>
      <c r="AH36" s="279">
        <v>0</v>
      </c>
      <c r="AI36" s="279">
        <v>20250106</v>
      </c>
      <c r="AJ36" s="462" t="s">
        <v>1152</v>
      </c>
      <c r="AK36" s="279"/>
      <c r="AL36" s="279" t="str">
        <f>IF(AB36="Y","단종모델",LEFT(N36,3)&amp;IFERROR(VLOOKUP(LEFT(N36,3)&amp;P36,#REF!,2,0),""))</f>
        <v>HDM</v>
      </c>
      <c r="AM36" s="469" t="str">
        <f t="shared" si="0"/>
        <v>디 올 뉴 팰리세이드 2025년형 가솔린 터보 2.5 하이브리드 (9인승) 2WD</v>
      </c>
      <c r="AN36" s="279">
        <f t="shared" si="5"/>
        <v>49820000</v>
      </c>
      <c r="AO36" s="279">
        <f t="shared" si="6"/>
        <v>2497</v>
      </c>
      <c r="AP36" s="279" t="str">
        <f t="shared" si="7"/>
        <v>V</v>
      </c>
      <c r="AQ36" s="279">
        <f t="shared" si="8"/>
        <v>9</v>
      </c>
      <c r="AR36" s="279" t="str">
        <f t="shared" si="9"/>
        <v>RV</v>
      </c>
      <c r="AS36" s="279" t="str">
        <f t="shared" si="10"/>
        <v>다인승</v>
      </c>
      <c r="AT36" s="279" t="str">
        <f t="shared" si="1"/>
        <v>7급</v>
      </c>
      <c r="AU36" s="279" t="str">
        <f t="shared" si="2"/>
        <v>02:울산</v>
      </c>
      <c r="AV36" s="279">
        <f t="shared" si="11"/>
        <v>0</v>
      </c>
      <c r="AW36" s="279" t="str">
        <f t="shared" si="3"/>
        <v>D</v>
      </c>
      <c r="AX36" s="279" t="str">
        <f t="shared" si="12"/>
        <v>전략P</v>
      </c>
      <c r="AY36" s="468">
        <v>1.4999999999999999E-2</v>
      </c>
      <c r="AZ36" s="468"/>
      <c r="BA36" s="279" t="s">
        <v>1748</v>
      </c>
      <c r="BB36" s="279" t="s">
        <v>1649</v>
      </c>
      <c r="BC36" s="279"/>
      <c r="BD36" s="279" t="s">
        <v>1184</v>
      </c>
      <c r="BE36" s="279" t="str">
        <f t="shared" si="4"/>
        <v>현대</v>
      </c>
      <c r="BF36" s="581">
        <v>4.1000000000000002E-2</v>
      </c>
      <c r="BG36" s="281">
        <v>81000</v>
      </c>
      <c r="BH36" s="281">
        <v>291000</v>
      </c>
      <c r="BI36" s="279"/>
      <c r="BJ36" s="279"/>
      <c r="BK36" s="279"/>
      <c r="BL36" s="279"/>
      <c r="BM36" s="279" t="s">
        <v>1547</v>
      </c>
      <c r="BN36" s="279"/>
      <c r="BO36" s="279"/>
      <c r="BP36" s="500">
        <f t="shared" si="13"/>
        <v>6.2E-2</v>
      </c>
      <c r="BQ36" s="973">
        <f t="shared" si="14"/>
        <v>5.5E-2</v>
      </c>
    </row>
    <row r="37" spans="1:69" s="460" customFormat="1" ht="15" customHeight="1">
      <c r="A37" s="281">
        <v>34</v>
      </c>
      <c r="B37" s="282">
        <v>469989358</v>
      </c>
      <c r="C37" s="282" t="s">
        <v>472</v>
      </c>
      <c r="D37" s="282" t="s">
        <v>528</v>
      </c>
      <c r="E37" s="282" t="s">
        <v>482</v>
      </c>
      <c r="F37" s="282" t="s">
        <v>474</v>
      </c>
      <c r="G37" s="282">
        <v>52100000</v>
      </c>
      <c r="H37" s="284">
        <v>2497</v>
      </c>
      <c r="I37" s="282">
        <v>0</v>
      </c>
      <c r="J37" s="282">
        <v>9</v>
      </c>
      <c r="K37" s="282" t="s">
        <v>475</v>
      </c>
      <c r="L37" s="282">
        <v>0</v>
      </c>
      <c r="M37" s="282" t="s">
        <v>95</v>
      </c>
      <c r="N37" s="282" t="s">
        <v>476</v>
      </c>
      <c r="O37" s="282" t="s">
        <v>1927</v>
      </c>
      <c r="P37" s="282" t="s">
        <v>107</v>
      </c>
      <c r="Q37" s="282" t="s">
        <v>1930</v>
      </c>
      <c r="R37" s="282" t="s">
        <v>1491</v>
      </c>
      <c r="S37" s="282">
        <v>72</v>
      </c>
      <c r="T37" s="282">
        <v>0</v>
      </c>
      <c r="U37" s="282"/>
      <c r="V37" s="282"/>
      <c r="W37" s="282" t="s">
        <v>554</v>
      </c>
      <c r="X37" s="282" t="s">
        <v>484</v>
      </c>
      <c r="Y37" s="282"/>
      <c r="Z37" s="282"/>
      <c r="AA37" s="282"/>
      <c r="AB37" s="279" t="s">
        <v>479</v>
      </c>
      <c r="AC37" s="282" t="s">
        <v>490</v>
      </c>
      <c r="AD37" s="282" t="s">
        <v>491</v>
      </c>
      <c r="AE37" s="282">
        <v>89358</v>
      </c>
      <c r="AF37" s="282" t="s">
        <v>507</v>
      </c>
      <c r="AG37" s="279"/>
      <c r="AH37" s="279">
        <v>0</v>
      </c>
      <c r="AI37" s="279">
        <v>20250106</v>
      </c>
      <c r="AJ37" s="462" t="s">
        <v>1152</v>
      </c>
      <c r="AK37" s="279"/>
      <c r="AL37" s="279" t="str">
        <f>IF(AB37="Y","단종모델",LEFT(N37,3)&amp;IFERROR(VLOOKUP(LEFT(N37,3)&amp;P37,#REF!,2,0),""))</f>
        <v>HDM</v>
      </c>
      <c r="AM37" s="469" t="str">
        <f t="shared" ref="AM37" si="49">O37&amp;" "&amp;Q37&amp;" "&amp;R37</f>
        <v>디 올 뉴 팰리세이드 2025년형 가솔린 터보 2.5 하이브리드 (9인승) 4WD</v>
      </c>
      <c r="AN37" s="279">
        <f t="shared" ref="AN37" si="50">G37</f>
        <v>52100000</v>
      </c>
      <c r="AO37" s="279">
        <f t="shared" ref="AO37" si="51">H37</f>
        <v>2497</v>
      </c>
      <c r="AP37" s="279" t="str">
        <f>LEFT(K39,1)</f>
        <v>M</v>
      </c>
      <c r="AQ37" s="279">
        <f t="shared" ref="AQ37" si="52">J37</f>
        <v>9</v>
      </c>
      <c r="AR37" s="279" t="str">
        <f t="shared" ref="AR37" si="53">RIGHT(D37,2)</f>
        <v>RV</v>
      </c>
      <c r="AS37" s="279" t="str">
        <f t="shared" ref="AS37" si="54">MID(W37,4,3)</f>
        <v>다인승</v>
      </c>
      <c r="AT37" s="279" t="str">
        <f t="shared" ref="AT37" si="55">RIGHT(AC37,2)</f>
        <v>7급</v>
      </c>
      <c r="AU37" s="279" t="str">
        <f t="shared" ref="AU37" si="56">AB37</f>
        <v>02:울산</v>
      </c>
      <c r="AV37" s="279">
        <f t="shared" ref="AV37" si="57">IF(AND(BE37="기아",AQ37&lt;7),1900,IF(AND(BE37="기아",AQ37&gt;6,AQ37&lt;11),2500,IF(AND(BE37="기아",AQ37&gt;10),3500,IF(AND(BE37="KG모빌리티",AQ37&lt;7),3650,IF(AND(BE37="KG모빌리티",AQ37&gt;6),4300,0)))))</f>
        <v>0</v>
      </c>
      <c r="AW37" s="279" t="str">
        <f t="shared" ref="AW37" si="58">LEFT(F37,1)</f>
        <v>D</v>
      </c>
      <c r="AX37" s="279" t="str">
        <f t="shared" ref="AX37" si="59">AJ37</f>
        <v>전략P</v>
      </c>
      <c r="AY37" s="468">
        <v>1.4999999999999999E-2</v>
      </c>
      <c r="AZ37" s="468"/>
      <c r="BA37" s="279" t="s">
        <v>1748</v>
      </c>
      <c r="BB37" s="279" t="s">
        <v>1649</v>
      </c>
      <c r="BC37" s="279"/>
      <c r="BD37" s="279" t="s">
        <v>1184</v>
      </c>
      <c r="BE37" s="279" t="str">
        <f t="shared" ref="BE37" si="60">M37</f>
        <v>현대</v>
      </c>
      <c r="BF37" s="581">
        <v>4.1000000000000002E-2</v>
      </c>
      <c r="BG37" s="281">
        <v>81000</v>
      </c>
      <c r="BH37" s="281">
        <v>291000</v>
      </c>
      <c r="BI37" s="279"/>
      <c r="BJ37" s="279"/>
      <c r="BK37" s="279"/>
      <c r="BL37" s="279"/>
      <c r="BM37" s="279" t="s">
        <v>1547</v>
      </c>
      <c r="BN37" s="279"/>
      <c r="BO37" s="279"/>
      <c r="BP37" s="500">
        <f t="shared" si="13"/>
        <v>6.2E-2</v>
      </c>
      <c r="BQ37" s="973">
        <f t="shared" ref="BQ37" si="61">BP37-0.007</f>
        <v>5.5E-2</v>
      </c>
    </row>
    <row r="38" spans="1:69" s="460" customFormat="1" ht="15" customHeight="1">
      <c r="A38" s="281">
        <v>35</v>
      </c>
      <c r="B38" s="282">
        <v>469989375</v>
      </c>
      <c r="C38" s="282" t="s">
        <v>472</v>
      </c>
      <c r="D38" s="282" t="s">
        <v>528</v>
      </c>
      <c r="E38" s="282" t="s">
        <v>482</v>
      </c>
      <c r="F38" s="282" t="s">
        <v>474</v>
      </c>
      <c r="G38" s="282">
        <v>51460000</v>
      </c>
      <c r="H38" s="284">
        <v>2497</v>
      </c>
      <c r="I38" s="282">
        <v>0</v>
      </c>
      <c r="J38" s="282">
        <v>7</v>
      </c>
      <c r="K38" s="282" t="s">
        <v>1932</v>
      </c>
      <c r="L38" s="282">
        <v>0</v>
      </c>
      <c r="M38" s="282" t="s">
        <v>95</v>
      </c>
      <c r="N38" s="282" t="s">
        <v>476</v>
      </c>
      <c r="O38" s="282" t="s">
        <v>1927</v>
      </c>
      <c r="P38" s="282" t="s">
        <v>107</v>
      </c>
      <c r="Q38" s="282" t="s">
        <v>1931</v>
      </c>
      <c r="R38" s="282" t="s">
        <v>1430</v>
      </c>
      <c r="S38" s="282">
        <v>72</v>
      </c>
      <c r="T38" s="282">
        <v>0</v>
      </c>
      <c r="U38" s="282"/>
      <c r="V38" s="282"/>
      <c r="W38" s="282" t="s">
        <v>507</v>
      </c>
      <c r="X38" s="282" t="s">
        <v>484</v>
      </c>
      <c r="Y38" s="282"/>
      <c r="Z38" s="282"/>
      <c r="AA38" s="282"/>
      <c r="AB38" s="279" t="s">
        <v>479</v>
      </c>
      <c r="AC38" s="282" t="s">
        <v>490</v>
      </c>
      <c r="AD38" s="282" t="s">
        <v>491</v>
      </c>
      <c r="AE38" s="282">
        <v>89375</v>
      </c>
      <c r="AF38" s="282" t="s">
        <v>507</v>
      </c>
      <c r="AG38" s="279"/>
      <c r="AH38" s="279">
        <v>0</v>
      </c>
      <c r="AI38" s="279">
        <v>20250106</v>
      </c>
      <c r="AJ38" s="462" t="s">
        <v>1152</v>
      </c>
      <c r="AK38" s="279"/>
      <c r="AL38" s="279" t="str">
        <f>IF(AB38="Y","단종모델",LEFT(N38,3)&amp;IFERROR(VLOOKUP(LEFT(N38,3)&amp;P38,#REF!,2,0),""))</f>
        <v>HDM</v>
      </c>
      <c r="AM38" s="469" t="str">
        <f t="shared" si="0"/>
        <v>디 올 뉴 팰리세이드 2025년형 가솔린 터보 2.5 하이브리드 (7인승) 2WD</v>
      </c>
      <c r="AN38" s="279">
        <f t="shared" si="5"/>
        <v>51460000</v>
      </c>
      <c r="AO38" s="279">
        <f t="shared" si="6"/>
        <v>2497</v>
      </c>
      <c r="AP38" s="279" t="str">
        <f t="shared" si="7"/>
        <v>V</v>
      </c>
      <c r="AQ38" s="279">
        <f t="shared" si="8"/>
        <v>7</v>
      </c>
      <c r="AR38" s="279" t="str">
        <f t="shared" si="9"/>
        <v>RV</v>
      </c>
      <c r="AS38" s="279" t="str">
        <f t="shared" si="10"/>
        <v>다인승</v>
      </c>
      <c r="AT38" s="279" t="str">
        <f t="shared" si="1"/>
        <v>7급</v>
      </c>
      <c r="AU38" s="279" t="str">
        <f t="shared" si="2"/>
        <v>02:울산</v>
      </c>
      <c r="AV38" s="279">
        <f t="shared" si="11"/>
        <v>0</v>
      </c>
      <c r="AW38" s="279" t="str">
        <f t="shared" si="3"/>
        <v>D</v>
      </c>
      <c r="AX38" s="279" t="str">
        <f t="shared" si="12"/>
        <v>전략P</v>
      </c>
      <c r="AY38" s="468">
        <v>1.4999999999999999E-2</v>
      </c>
      <c r="AZ38" s="468"/>
      <c r="BA38" s="279" t="s">
        <v>1563</v>
      </c>
      <c r="BB38" s="279" t="s">
        <v>1649</v>
      </c>
      <c r="BC38" s="279"/>
      <c r="BD38" s="279" t="s">
        <v>1184</v>
      </c>
      <c r="BE38" s="279" t="str">
        <f t="shared" si="4"/>
        <v>현대</v>
      </c>
      <c r="BF38" s="581">
        <v>4.1000000000000002E-2</v>
      </c>
      <c r="BG38" s="281">
        <v>81000</v>
      </c>
      <c r="BH38" s="281">
        <v>291000</v>
      </c>
      <c r="BI38" s="279"/>
      <c r="BJ38" s="279"/>
      <c r="BK38" s="279"/>
      <c r="BL38" s="279"/>
      <c r="BM38" s="279" t="s">
        <v>1547</v>
      </c>
      <c r="BN38" s="279"/>
      <c r="BO38" s="279"/>
      <c r="BP38" s="500">
        <f t="shared" si="13"/>
        <v>6.2E-2</v>
      </c>
      <c r="BQ38" s="973">
        <f t="shared" si="14"/>
        <v>5.5E-2</v>
      </c>
    </row>
    <row r="39" spans="1:69" s="460" customFormat="1" ht="15" customHeight="1">
      <c r="A39" s="281">
        <v>36</v>
      </c>
      <c r="B39" s="282">
        <v>469989376</v>
      </c>
      <c r="C39" s="282" t="s">
        <v>472</v>
      </c>
      <c r="D39" s="282" t="s">
        <v>528</v>
      </c>
      <c r="E39" s="282" t="s">
        <v>482</v>
      </c>
      <c r="F39" s="282" t="s">
        <v>474</v>
      </c>
      <c r="G39" s="282">
        <v>53860000</v>
      </c>
      <c r="H39" s="284">
        <v>2497</v>
      </c>
      <c r="I39" s="282">
        <v>0</v>
      </c>
      <c r="J39" s="282">
        <v>7</v>
      </c>
      <c r="K39" s="282" t="s">
        <v>475</v>
      </c>
      <c r="L39" s="282">
        <v>0</v>
      </c>
      <c r="M39" s="282" t="s">
        <v>95</v>
      </c>
      <c r="N39" s="282" t="s">
        <v>476</v>
      </c>
      <c r="O39" s="282" t="s">
        <v>1927</v>
      </c>
      <c r="P39" s="282" t="s">
        <v>107</v>
      </c>
      <c r="Q39" s="282" t="s">
        <v>1931</v>
      </c>
      <c r="R39" s="282" t="s">
        <v>1491</v>
      </c>
      <c r="S39" s="282">
        <v>72</v>
      </c>
      <c r="T39" s="282">
        <v>0</v>
      </c>
      <c r="U39" s="282"/>
      <c r="V39" s="282"/>
      <c r="W39" s="282" t="s">
        <v>507</v>
      </c>
      <c r="X39" s="282" t="s">
        <v>484</v>
      </c>
      <c r="Y39" s="282"/>
      <c r="Z39" s="282"/>
      <c r="AA39" s="282"/>
      <c r="AB39" s="279" t="s">
        <v>479</v>
      </c>
      <c r="AC39" s="282" t="s">
        <v>490</v>
      </c>
      <c r="AD39" s="282" t="s">
        <v>491</v>
      </c>
      <c r="AE39" s="282">
        <v>89376</v>
      </c>
      <c r="AF39" s="282" t="s">
        <v>507</v>
      </c>
      <c r="AG39" s="279"/>
      <c r="AH39" s="279">
        <v>0</v>
      </c>
      <c r="AI39" s="279">
        <v>20250106</v>
      </c>
      <c r="AJ39" s="462" t="s">
        <v>1152</v>
      </c>
      <c r="AK39" s="279"/>
      <c r="AL39" s="279" t="str">
        <f>IF(AB39="Y","단종모델",LEFT(N39,3)&amp;IFERROR(VLOOKUP(LEFT(N39,3)&amp;P39,#REF!,2,0),""))</f>
        <v>HDM</v>
      </c>
      <c r="AM39" s="469" t="str">
        <f t="shared" ref="AM39:AM46" si="62">O39&amp;" "&amp;Q39&amp;" "&amp;R39</f>
        <v>디 올 뉴 팰리세이드 2025년형 가솔린 터보 2.5 하이브리드 (7인승) 4WD</v>
      </c>
      <c r="AN39" s="279">
        <f t="shared" ref="AN39:AN46" si="63">G39</f>
        <v>53860000</v>
      </c>
      <c r="AO39" s="279">
        <f t="shared" ref="AO39:AO46" si="64">H39</f>
        <v>2497</v>
      </c>
      <c r="AP39" s="279" t="str">
        <f t="shared" si="7"/>
        <v>M</v>
      </c>
      <c r="AQ39" s="279">
        <f t="shared" ref="AQ39:AQ46" si="65">J39</f>
        <v>7</v>
      </c>
      <c r="AR39" s="279" t="str">
        <f t="shared" ref="AR39:AR46" si="66">RIGHT(D39,2)</f>
        <v>RV</v>
      </c>
      <c r="AS39" s="279" t="str">
        <f t="shared" ref="AS39:AS46" si="67">MID(W39,4,3)</f>
        <v>다인승</v>
      </c>
      <c r="AT39" s="279" t="str">
        <f t="shared" ref="AT39:AT46" si="68">RIGHT(AC39,2)</f>
        <v>7급</v>
      </c>
      <c r="AU39" s="279" t="str">
        <f t="shared" ref="AU39:AU46" si="69">AB39</f>
        <v>02:울산</v>
      </c>
      <c r="AV39" s="279">
        <f t="shared" ref="AV39:AV46" si="70">IF(AND(BE39="기아",AQ39&lt;7),1900,IF(AND(BE39="기아",AQ39&gt;6,AQ39&lt;11),2500,IF(AND(BE39="기아",AQ39&gt;10),3500,IF(AND(BE39="KG모빌리티",AQ39&lt;7),3650,IF(AND(BE39="KG모빌리티",AQ39&gt;6),4300,0)))))</f>
        <v>0</v>
      </c>
      <c r="AW39" s="279" t="str">
        <f t="shared" ref="AW39:AW46" si="71">LEFT(F39,1)</f>
        <v>D</v>
      </c>
      <c r="AX39" s="279" t="str">
        <f t="shared" ref="AX39:AX46" si="72">AJ39</f>
        <v>전략P</v>
      </c>
      <c r="AY39" s="468">
        <v>1.4999999999999999E-2</v>
      </c>
      <c r="AZ39" s="468"/>
      <c r="BA39" s="279" t="s">
        <v>1563</v>
      </c>
      <c r="BB39" s="279" t="s">
        <v>1649</v>
      </c>
      <c r="BC39" s="279"/>
      <c r="BD39" s="279" t="s">
        <v>1184</v>
      </c>
      <c r="BE39" s="279" t="str">
        <f t="shared" ref="BE39:BE46" si="73">M39</f>
        <v>현대</v>
      </c>
      <c r="BF39" s="581">
        <v>4.1000000000000002E-2</v>
      </c>
      <c r="BG39" s="281">
        <v>81000</v>
      </c>
      <c r="BH39" s="281">
        <v>291000</v>
      </c>
      <c r="BI39" s="279"/>
      <c r="BJ39" s="279"/>
      <c r="BK39" s="279"/>
      <c r="BL39" s="279"/>
      <c r="BM39" s="279" t="s">
        <v>1547</v>
      </c>
      <c r="BN39" s="279"/>
      <c r="BO39" s="279"/>
      <c r="BP39" s="500">
        <f t="shared" si="13"/>
        <v>6.2E-2</v>
      </c>
      <c r="BQ39" s="973">
        <f t="shared" ref="BQ39:BQ46" si="74">BP39-0.007</f>
        <v>5.5E-2</v>
      </c>
    </row>
    <row r="40" spans="1:69" s="460" customFormat="1" ht="15" customHeight="1">
      <c r="A40" s="281">
        <v>29</v>
      </c>
      <c r="B40" s="282">
        <v>419083948</v>
      </c>
      <c r="C40" s="282" t="s">
        <v>472</v>
      </c>
      <c r="D40" s="282" t="s">
        <v>528</v>
      </c>
      <c r="E40" s="282" t="s">
        <v>482</v>
      </c>
      <c r="F40" s="282" t="s">
        <v>474</v>
      </c>
      <c r="G40" s="282">
        <v>38960000</v>
      </c>
      <c r="H40" s="284">
        <v>3778</v>
      </c>
      <c r="I40" s="282">
        <v>0</v>
      </c>
      <c r="J40" s="282">
        <v>7</v>
      </c>
      <c r="K40" s="282" t="s">
        <v>475</v>
      </c>
      <c r="L40" s="282">
        <v>0</v>
      </c>
      <c r="M40" s="282" t="s">
        <v>95</v>
      </c>
      <c r="N40" s="282" t="s">
        <v>476</v>
      </c>
      <c r="O40" s="282" t="s">
        <v>1974</v>
      </c>
      <c r="P40" s="282" t="s">
        <v>107</v>
      </c>
      <c r="Q40" s="282" t="s">
        <v>1975</v>
      </c>
      <c r="R40" s="282" t="s">
        <v>1976</v>
      </c>
      <c r="S40" s="282">
        <v>71</v>
      </c>
      <c r="T40" s="282">
        <v>9.3000000000000007</v>
      </c>
      <c r="U40" s="282" t="s">
        <v>1977</v>
      </c>
      <c r="V40" s="282" t="s">
        <v>1977</v>
      </c>
      <c r="W40" s="282" t="s">
        <v>507</v>
      </c>
      <c r="X40" s="282" t="s">
        <v>484</v>
      </c>
      <c r="Y40" s="282"/>
      <c r="Z40" s="282"/>
      <c r="AA40" s="282"/>
      <c r="AB40" s="279" t="s">
        <v>479</v>
      </c>
      <c r="AC40" s="282" t="s">
        <v>490</v>
      </c>
      <c r="AD40" s="282" t="s">
        <v>491</v>
      </c>
      <c r="AE40" s="282">
        <v>83948</v>
      </c>
      <c r="AF40" s="282" t="s">
        <v>507</v>
      </c>
      <c r="AG40" s="279"/>
      <c r="AH40" s="279">
        <v>0</v>
      </c>
      <c r="AI40" s="279">
        <v>20240829</v>
      </c>
      <c r="AJ40" s="462" t="s">
        <v>1152</v>
      </c>
      <c r="AK40" s="279"/>
      <c r="AL40" s="279" t="str">
        <f>IF(AB40="Y","단종모델",LEFT(N40,3)&amp;IFERROR(VLOOKUP(LEFT(N40,3)&amp;P40,#REF!,2,0),""))</f>
        <v>HDM</v>
      </c>
      <c r="AM40" s="469" t="str">
        <f t="shared" si="62"/>
        <v>팰리세이드 가솔린 3.8 2WD (7인승)</v>
      </c>
      <c r="AN40" s="279">
        <f t="shared" si="63"/>
        <v>38960000</v>
      </c>
      <c r="AO40" s="279">
        <f t="shared" si="64"/>
        <v>3778</v>
      </c>
      <c r="AP40" s="279" t="str">
        <f t="shared" ref="AP40:AP44" si="75">LEFT(K40,1)</f>
        <v>M</v>
      </c>
      <c r="AQ40" s="279">
        <f t="shared" si="65"/>
        <v>7</v>
      </c>
      <c r="AR40" s="279" t="str">
        <f t="shared" si="66"/>
        <v>RV</v>
      </c>
      <c r="AS40" s="279" t="str">
        <f t="shared" si="67"/>
        <v>다인승</v>
      </c>
      <c r="AT40" s="279" t="str">
        <f t="shared" si="68"/>
        <v>7급</v>
      </c>
      <c r="AU40" s="279" t="str">
        <f t="shared" si="69"/>
        <v>02:울산</v>
      </c>
      <c r="AV40" s="279">
        <f t="shared" si="70"/>
        <v>0</v>
      </c>
      <c r="AW40" s="279" t="str">
        <f t="shared" si="71"/>
        <v>D</v>
      </c>
      <c r="AX40" s="279" t="str">
        <f t="shared" si="72"/>
        <v>전략P</v>
      </c>
      <c r="AY40" s="468">
        <v>1.4999999999999999E-2</v>
      </c>
      <c r="AZ40" s="468"/>
      <c r="BA40" s="279" t="s">
        <v>1553</v>
      </c>
      <c r="BB40" s="279" t="s">
        <v>1552</v>
      </c>
      <c r="BC40" s="279"/>
      <c r="BD40" s="279" t="s">
        <v>1184</v>
      </c>
      <c r="BE40" s="279" t="str">
        <f t="shared" si="73"/>
        <v>현대</v>
      </c>
      <c r="BF40" s="581">
        <v>4.1000000000000002E-2</v>
      </c>
      <c r="BG40" s="281">
        <v>81000</v>
      </c>
      <c r="BH40" s="281">
        <v>291000</v>
      </c>
      <c r="BI40" s="279"/>
      <c r="BJ40" s="279"/>
      <c r="BK40" s="279"/>
      <c r="BL40" s="279"/>
      <c r="BM40" s="279" t="s">
        <v>1547</v>
      </c>
      <c r="BN40" s="279"/>
      <c r="BO40" s="279"/>
      <c r="BP40" s="500">
        <f t="shared" ref="BP40:BP47" si="76">IF(AJ40="전략P",0.062,IF(AJ40="전략",0.068,IF(AND(AJ40="전기",LEFT(AM40,2)="레이"),0.145,IF(AJ40="전기",0.065,IF(LEFT(AM40,3)="캐스퍼",0.093,IF(H40&lt;1000,0.145,0.093))))))-IF(BO40&gt;0,BO40%,0%)</f>
        <v>6.2E-2</v>
      </c>
      <c r="BQ40" s="973">
        <f t="shared" si="74"/>
        <v>5.5E-2</v>
      </c>
    </row>
    <row r="41" spans="1:69" s="460" customFormat="1" ht="15" customHeight="1">
      <c r="A41" s="281">
        <v>30</v>
      </c>
      <c r="B41" s="282">
        <v>419083949</v>
      </c>
      <c r="C41" s="282" t="s">
        <v>472</v>
      </c>
      <c r="D41" s="282" t="s">
        <v>528</v>
      </c>
      <c r="E41" s="282" t="s">
        <v>482</v>
      </c>
      <c r="F41" s="282" t="s">
        <v>474</v>
      </c>
      <c r="G41" s="282">
        <v>38960000</v>
      </c>
      <c r="H41" s="284">
        <v>3778</v>
      </c>
      <c r="I41" s="282">
        <v>0</v>
      </c>
      <c r="J41" s="282">
        <v>8</v>
      </c>
      <c r="K41" s="282" t="s">
        <v>475</v>
      </c>
      <c r="L41" s="282">
        <v>0</v>
      </c>
      <c r="M41" s="282" t="s">
        <v>95</v>
      </c>
      <c r="N41" s="282" t="s">
        <v>476</v>
      </c>
      <c r="O41" s="282" t="s">
        <v>1974</v>
      </c>
      <c r="P41" s="282" t="s">
        <v>107</v>
      </c>
      <c r="Q41" s="282" t="s">
        <v>1975</v>
      </c>
      <c r="R41" s="282" t="s">
        <v>1978</v>
      </c>
      <c r="S41" s="282">
        <v>71</v>
      </c>
      <c r="T41" s="282">
        <v>9.3000000000000007</v>
      </c>
      <c r="U41" s="282" t="s">
        <v>1977</v>
      </c>
      <c r="V41" s="282" t="s">
        <v>1977</v>
      </c>
      <c r="W41" s="282" t="s">
        <v>507</v>
      </c>
      <c r="X41" s="282" t="s">
        <v>484</v>
      </c>
      <c r="Y41" s="282"/>
      <c r="Z41" s="282"/>
      <c r="AA41" s="282"/>
      <c r="AB41" s="279" t="s">
        <v>479</v>
      </c>
      <c r="AC41" s="282" t="s">
        <v>490</v>
      </c>
      <c r="AD41" s="282" t="s">
        <v>491</v>
      </c>
      <c r="AE41" s="282">
        <v>83949</v>
      </c>
      <c r="AF41" s="282" t="s">
        <v>507</v>
      </c>
      <c r="AG41" s="279"/>
      <c r="AH41" s="279">
        <v>0</v>
      </c>
      <c r="AI41" s="279">
        <v>20240829</v>
      </c>
      <c r="AJ41" s="462" t="s">
        <v>1152</v>
      </c>
      <c r="AK41" s="279"/>
      <c r="AL41" s="279" t="str">
        <f>IF(AB41="Y","단종모델",LEFT(N41,3)&amp;IFERROR(VLOOKUP(LEFT(N41,3)&amp;P41,#REF!,2,0),""))</f>
        <v>HDM</v>
      </c>
      <c r="AM41" s="469" t="str">
        <f t="shared" si="62"/>
        <v>팰리세이드 가솔린 3.8 2WD (8인승)</v>
      </c>
      <c r="AN41" s="279">
        <f t="shared" si="63"/>
        <v>38960000</v>
      </c>
      <c r="AO41" s="279">
        <f t="shared" si="64"/>
        <v>3778</v>
      </c>
      <c r="AP41" s="279" t="str">
        <f t="shared" si="75"/>
        <v>M</v>
      </c>
      <c r="AQ41" s="279">
        <f t="shared" si="65"/>
        <v>8</v>
      </c>
      <c r="AR41" s="279" t="str">
        <f t="shared" si="66"/>
        <v>RV</v>
      </c>
      <c r="AS41" s="279" t="str">
        <f t="shared" si="67"/>
        <v>다인승</v>
      </c>
      <c r="AT41" s="279" t="str">
        <f t="shared" si="68"/>
        <v>7급</v>
      </c>
      <c r="AU41" s="279" t="str">
        <f t="shared" si="69"/>
        <v>02:울산</v>
      </c>
      <c r="AV41" s="279">
        <f t="shared" si="70"/>
        <v>0</v>
      </c>
      <c r="AW41" s="279" t="str">
        <f t="shared" si="71"/>
        <v>D</v>
      </c>
      <c r="AX41" s="279" t="str">
        <f t="shared" si="72"/>
        <v>전략P</v>
      </c>
      <c r="AY41" s="468">
        <v>1.4999999999999999E-2</v>
      </c>
      <c r="AZ41" s="468"/>
      <c r="BA41" s="279" t="s">
        <v>1553</v>
      </c>
      <c r="BB41" s="279" t="s">
        <v>1552</v>
      </c>
      <c r="BC41" s="279"/>
      <c r="BD41" s="279" t="s">
        <v>1184</v>
      </c>
      <c r="BE41" s="279" t="str">
        <f t="shared" si="73"/>
        <v>현대</v>
      </c>
      <c r="BF41" s="581">
        <v>4.1000000000000002E-2</v>
      </c>
      <c r="BG41" s="281">
        <v>81000</v>
      </c>
      <c r="BH41" s="281">
        <v>291000</v>
      </c>
      <c r="BI41" s="279"/>
      <c r="BJ41" s="279"/>
      <c r="BK41" s="279"/>
      <c r="BL41" s="279"/>
      <c r="BM41" s="279" t="s">
        <v>1547</v>
      </c>
      <c r="BN41" s="279"/>
      <c r="BO41" s="279"/>
      <c r="BP41" s="500">
        <f t="shared" si="76"/>
        <v>6.2E-2</v>
      </c>
      <c r="BQ41" s="973">
        <f t="shared" si="74"/>
        <v>5.5E-2</v>
      </c>
    </row>
    <row r="42" spans="1:69" s="460" customFormat="1" ht="15" customHeight="1">
      <c r="A42" s="281">
        <v>31</v>
      </c>
      <c r="B42" s="282">
        <v>419083958</v>
      </c>
      <c r="C42" s="282" t="s">
        <v>472</v>
      </c>
      <c r="D42" s="282" t="s">
        <v>528</v>
      </c>
      <c r="E42" s="282" t="s">
        <v>482</v>
      </c>
      <c r="F42" s="282" t="s">
        <v>474</v>
      </c>
      <c r="G42" s="282">
        <v>41330000</v>
      </c>
      <c r="H42" s="284">
        <v>3778</v>
      </c>
      <c r="I42" s="282">
        <v>0</v>
      </c>
      <c r="J42" s="282">
        <v>7</v>
      </c>
      <c r="K42" s="282" t="s">
        <v>475</v>
      </c>
      <c r="L42" s="282">
        <v>0</v>
      </c>
      <c r="M42" s="282" t="s">
        <v>95</v>
      </c>
      <c r="N42" s="282" t="s">
        <v>476</v>
      </c>
      <c r="O42" s="282" t="s">
        <v>1974</v>
      </c>
      <c r="P42" s="282" t="s">
        <v>107</v>
      </c>
      <c r="Q42" s="282" t="s">
        <v>1979</v>
      </c>
      <c r="R42" s="282" t="s">
        <v>1976</v>
      </c>
      <c r="S42" s="282">
        <v>71</v>
      </c>
      <c r="T42" s="282">
        <v>8.6999999999999993</v>
      </c>
      <c r="U42" s="282" t="s">
        <v>1977</v>
      </c>
      <c r="V42" s="282" t="s">
        <v>1977</v>
      </c>
      <c r="W42" s="282" t="s">
        <v>507</v>
      </c>
      <c r="X42" s="282" t="s">
        <v>484</v>
      </c>
      <c r="Y42" s="282"/>
      <c r="Z42" s="282"/>
      <c r="AA42" s="282"/>
      <c r="AB42" s="279" t="s">
        <v>479</v>
      </c>
      <c r="AC42" s="282" t="s">
        <v>490</v>
      </c>
      <c r="AD42" s="282" t="s">
        <v>491</v>
      </c>
      <c r="AE42" s="282">
        <v>83958</v>
      </c>
      <c r="AF42" s="282" t="s">
        <v>507</v>
      </c>
      <c r="AG42" s="279"/>
      <c r="AH42" s="279">
        <v>0</v>
      </c>
      <c r="AI42" s="279">
        <v>20240829</v>
      </c>
      <c r="AJ42" s="462" t="s">
        <v>1152</v>
      </c>
      <c r="AK42" s="279"/>
      <c r="AL42" s="279" t="str">
        <f>IF(AB42="Y","단종모델",LEFT(N42,3)&amp;IFERROR(VLOOKUP(LEFT(N42,3)&amp;P42,#REF!,2,0),""))</f>
        <v>HDM</v>
      </c>
      <c r="AM42" s="469" t="str">
        <f t="shared" si="62"/>
        <v>팰리세이드 가솔린 3.8 4WD (7인승)</v>
      </c>
      <c r="AN42" s="279">
        <f t="shared" si="63"/>
        <v>41330000</v>
      </c>
      <c r="AO42" s="279">
        <f t="shared" si="64"/>
        <v>3778</v>
      </c>
      <c r="AP42" s="279" t="str">
        <f t="shared" si="75"/>
        <v>M</v>
      </c>
      <c r="AQ42" s="279">
        <f t="shared" si="65"/>
        <v>7</v>
      </c>
      <c r="AR42" s="279" t="str">
        <f t="shared" si="66"/>
        <v>RV</v>
      </c>
      <c r="AS42" s="279" t="str">
        <f t="shared" si="67"/>
        <v>다인승</v>
      </c>
      <c r="AT42" s="279" t="str">
        <f t="shared" si="68"/>
        <v>7급</v>
      </c>
      <c r="AU42" s="279" t="str">
        <f t="shared" si="69"/>
        <v>02:울산</v>
      </c>
      <c r="AV42" s="279">
        <f t="shared" si="70"/>
        <v>0</v>
      </c>
      <c r="AW42" s="279" t="str">
        <f t="shared" si="71"/>
        <v>D</v>
      </c>
      <c r="AX42" s="279" t="str">
        <f t="shared" si="72"/>
        <v>전략P</v>
      </c>
      <c r="AY42" s="468">
        <v>1.4999999999999999E-2</v>
      </c>
      <c r="AZ42" s="468"/>
      <c r="BA42" s="279" t="s">
        <v>1553</v>
      </c>
      <c r="BB42" s="279" t="s">
        <v>1552</v>
      </c>
      <c r="BC42" s="279"/>
      <c r="BD42" s="279" t="s">
        <v>1184</v>
      </c>
      <c r="BE42" s="279" t="str">
        <f t="shared" si="73"/>
        <v>현대</v>
      </c>
      <c r="BF42" s="581">
        <v>4.1000000000000002E-2</v>
      </c>
      <c r="BG42" s="281">
        <v>81000</v>
      </c>
      <c r="BH42" s="281">
        <v>291000</v>
      </c>
      <c r="BI42" s="279"/>
      <c r="BJ42" s="279"/>
      <c r="BK42" s="279"/>
      <c r="BL42" s="279"/>
      <c r="BM42" s="279" t="s">
        <v>1547</v>
      </c>
      <c r="BN42" s="279"/>
      <c r="BO42" s="279"/>
      <c r="BP42" s="500">
        <f t="shared" si="76"/>
        <v>6.2E-2</v>
      </c>
      <c r="BQ42" s="973">
        <f t="shared" si="74"/>
        <v>5.5E-2</v>
      </c>
    </row>
    <row r="43" spans="1:69" s="460" customFormat="1" ht="15" customHeight="1">
      <c r="A43" s="281">
        <v>32</v>
      </c>
      <c r="B43" s="282">
        <v>419083959</v>
      </c>
      <c r="C43" s="282" t="s">
        <v>472</v>
      </c>
      <c r="D43" s="282" t="s">
        <v>528</v>
      </c>
      <c r="E43" s="282" t="s">
        <v>482</v>
      </c>
      <c r="F43" s="282" t="s">
        <v>474</v>
      </c>
      <c r="G43" s="282">
        <v>41330000</v>
      </c>
      <c r="H43" s="284">
        <v>3778</v>
      </c>
      <c r="I43" s="282">
        <v>0</v>
      </c>
      <c r="J43" s="282">
        <v>8</v>
      </c>
      <c r="K43" s="282" t="s">
        <v>475</v>
      </c>
      <c r="L43" s="282">
        <v>0</v>
      </c>
      <c r="M43" s="282" t="s">
        <v>95</v>
      </c>
      <c r="N43" s="282" t="s">
        <v>476</v>
      </c>
      <c r="O43" s="282" t="s">
        <v>1974</v>
      </c>
      <c r="P43" s="282" t="s">
        <v>107</v>
      </c>
      <c r="Q43" s="282" t="s">
        <v>1979</v>
      </c>
      <c r="R43" s="282" t="s">
        <v>1978</v>
      </c>
      <c r="S43" s="282">
        <v>71</v>
      </c>
      <c r="T43" s="282">
        <v>8.6999999999999993</v>
      </c>
      <c r="U43" s="282" t="s">
        <v>1977</v>
      </c>
      <c r="V43" s="282" t="s">
        <v>1977</v>
      </c>
      <c r="W43" s="282" t="s">
        <v>507</v>
      </c>
      <c r="X43" s="282" t="s">
        <v>484</v>
      </c>
      <c r="Y43" s="282"/>
      <c r="Z43" s="282"/>
      <c r="AA43" s="282"/>
      <c r="AB43" s="279" t="s">
        <v>479</v>
      </c>
      <c r="AC43" s="282" t="s">
        <v>490</v>
      </c>
      <c r="AD43" s="282" t="s">
        <v>491</v>
      </c>
      <c r="AE43" s="282">
        <v>83959</v>
      </c>
      <c r="AF43" s="282" t="s">
        <v>507</v>
      </c>
      <c r="AG43" s="279"/>
      <c r="AH43" s="279">
        <v>0</v>
      </c>
      <c r="AI43" s="279">
        <v>20240829</v>
      </c>
      <c r="AJ43" s="462" t="s">
        <v>1152</v>
      </c>
      <c r="AK43" s="279"/>
      <c r="AL43" s="279" t="str">
        <f>IF(AB43="Y","단종모델",LEFT(N43,3)&amp;IFERROR(VLOOKUP(LEFT(N43,3)&amp;P43,#REF!,2,0),""))</f>
        <v>HDM</v>
      </c>
      <c r="AM43" s="469" t="str">
        <f t="shared" si="62"/>
        <v>팰리세이드 가솔린 3.8 4WD (8인승)</v>
      </c>
      <c r="AN43" s="279">
        <f t="shared" si="63"/>
        <v>41330000</v>
      </c>
      <c r="AO43" s="279">
        <f t="shared" si="64"/>
        <v>3778</v>
      </c>
      <c r="AP43" s="279" t="str">
        <f t="shared" si="75"/>
        <v>M</v>
      </c>
      <c r="AQ43" s="279">
        <f t="shared" si="65"/>
        <v>8</v>
      </c>
      <c r="AR43" s="279" t="str">
        <f t="shared" si="66"/>
        <v>RV</v>
      </c>
      <c r="AS43" s="279" t="str">
        <f t="shared" si="67"/>
        <v>다인승</v>
      </c>
      <c r="AT43" s="279" t="str">
        <f t="shared" si="68"/>
        <v>7급</v>
      </c>
      <c r="AU43" s="279" t="str">
        <f t="shared" si="69"/>
        <v>02:울산</v>
      </c>
      <c r="AV43" s="279">
        <f t="shared" si="70"/>
        <v>0</v>
      </c>
      <c r="AW43" s="279" t="str">
        <f t="shared" si="71"/>
        <v>D</v>
      </c>
      <c r="AX43" s="279" t="str">
        <f t="shared" si="72"/>
        <v>전략P</v>
      </c>
      <c r="AY43" s="468">
        <v>1.4999999999999999E-2</v>
      </c>
      <c r="AZ43" s="468"/>
      <c r="BA43" s="279" t="s">
        <v>1553</v>
      </c>
      <c r="BB43" s="279" t="s">
        <v>1552</v>
      </c>
      <c r="BC43" s="279"/>
      <c r="BD43" s="279" t="s">
        <v>1184</v>
      </c>
      <c r="BE43" s="279" t="str">
        <f t="shared" si="73"/>
        <v>현대</v>
      </c>
      <c r="BF43" s="581">
        <v>4.1000000000000002E-2</v>
      </c>
      <c r="BG43" s="281">
        <v>81000</v>
      </c>
      <c r="BH43" s="281">
        <v>291000</v>
      </c>
      <c r="BI43" s="279"/>
      <c r="BJ43" s="279"/>
      <c r="BK43" s="279"/>
      <c r="BL43" s="279"/>
      <c r="BM43" s="279" t="s">
        <v>1547</v>
      </c>
      <c r="BN43" s="279"/>
      <c r="BO43" s="279"/>
      <c r="BP43" s="500">
        <f t="shared" si="76"/>
        <v>6.2E-2</v>
      </c>
      <c r="BQ43" s="973">
        <f t="shared" si="74"/>
        <v>5.5E-2</v>
      </c>
    </row>
    <row r="44" spans="1:69" s="460" customFormat="1" ht="15" customHeight="1">
      <c r="A44" s="281">
        <v>33</v>
      </c>
      <c r="B44" s="282">
        <v>419083968</v>
      </c>
      <c r="C44" s="282" t="s">
        <v>472</v>
      </c>
      <c r="D44" s="282" t="s">
        <v>528</v>
      </c>
      <c r="E44" s="282" t="s">
        <v>482</v>
      </c>
      <c r="F44" s="282" t="s">
        <v>474</v>
      </c>
      <c r="G44" s="282">
        <v>40440000</v>
      </c>
      <c r="H44" s="284">
        <v>2199</v>
      </c>
      <c r="I44" s="282">
        <v>0</v>
      </c>
      <c r="J44" s="282">
        <v>7</v>
      </c>
      <c r="K44" s="282" t="s">
        <v>481</v>
      </c>
      <c r="L44" s="282">
        <v>0</v>
      </c>
      <c r="M44" s="282" t="s">
        <v>95</v>
      </c>
      <c r="N44" s="282" t="s">
        <v>476</v>
      </c>
      <c r="O44" s="282" t="s">
        <v>1974</v>
      </c>
      <c r="P44" s="282" t="s">
        <v>107</v>
      </c>
      <c r="Q44" s="282" t="s">
        <v>1386</v>
      </c>
      <c r="R44" s="282" t="s">
        <v>1976</v>
      </c>
      <c r="S44" s="282">
        <v>71</v>
      </c>
      <c r="T44" s="282">
        <v>12.4</v>
      </c>
      <c r="U44" s="282" t="s">
        <v>1977</v>
      </c>
      <c r="V44" s="282" t="s">
        <v>1977</v>
      </c>
      <c r="W44" s="282" t="s">
        <v>507</v>
      </c>
      <c r="X44" s="282" t="s">
        <v>484</v>
      </c>
      <c r="Y44" s="282"/>
      <c r="Z44" s="282"/>
      <c r="AA44" s="282"/>
      <c r="AB44" s="279" t="s">
        <v>479</v>
      </c>
      <c r="AC44" s="282" t="s">
        <v>490</v>
      </c>
      <c r="AD44" s="282" t="s">
        <v>491</v>
      </c>
      <c r="AE44" s="282">
        <v>83968</v>
      </c>
      <c r="AF44" s="282" t="s">
        <v>507</v>
      </c>
      <c r="AG44" s="279"/>
      <c r="AH44" s="279">
        <v>0</v>
      </c>
      <c r="AI44" s="279">
        <v>20240829</v>
      </c>
      <c r="AJ44" s="462" t="s">
        <v>1152</v>
      </c>
      <c r="AK44" s="279"/>
      <c r="AL44" s="279" t="str">
        <f>IF(AB44="Y","단종모델",LEFT(N44,3)&amp;IFERROR(VLOOKUP(LEFT(N44,3)&amp;P44,#REF!,2,0),""))</f>
        <v>HDM</v>
      </c>
      <c r="AM44" s="469" t="str">
        <f t="shared" si="62"/>
        <v>팰리세이드 디젤 2.2 2WD (7인승)</v>
      </c>
      <c r="AN44" s="279">
        <f t="shared" si="63"/>
        <v>40440000</v>
      </c>
      <c r="AO44" s="279">
        <f t="shared" si="64"/>
        <v>2199</v>
      </c>
      <c r="AP44" s="279" t="str">
        <f t="shared" si="75"/>
        <v>D</v>
      </c>
      <c r="AQ44" s="279">
        <f t="shared" si="65"/>
        <v>7</v>
      </c>
      <c r="AR44" s="279" t="str">
        <f t="shared" si="66"/>
        <v>RV</v>
      </c>
      <c r="AS44" s="279" t="str">
        <f t="shared" si="67"/>
        <v>다인승</v>
      </c>
      <c r="AT44" s="279" t="str">
        <f t="shared" si="68"/>
        <v>7급</v>
      </c>
      <c r="AU44" s="279" t="str">
        <f t="shared" si="69"/>
        <v>02:울산</v>
      </c>
      <c r="AV44" s="279">
        <f t="shared" si="70"/>
        <v>0</v>
      </c>
      <c r="AW44" s="279" t="str">
        <f t="shared" si="71"/>
        <v>D</v>
      </c>
      <c r="AX44" s="279" t="str">
        <f t="shared" si="72"/>
        <v>전략P</v>
      </c>
      <c r="AY44" s="468">
        <v>1.4999999999999999E-2</v>
      </c>
      <c r="AZ44" s="468"/>
      <c r="BA44" s="279" t="s">
        <v>1554</v>
      </c>
      <c r="BB44" s="279" t="s">
        <v>1552</v>
      </c>
      <c r="BC44" s="279"/>
      <c r="BD44" s="279" t="s">
        <v>1184</v>
      </c>
      <c r="BE44" s="279" t="str">
        <f t="shared" si="73"/>
        <v>현대</v>
      </c>
      <c r="BF44" s="581">
        <v>4.1000000000000002E-2</v>
      </c>
      <c r="BG44" s="281">
        <v>81000</v>
      </c>
      <c r="BH44" s="281">
        <v>291000</v>
      </c>
      <c r="BI44" s="279"/>
      <c r="BJ44" s="279"/>
      <c r="BK44" s="279"/>
      <c r="BL44" s="279"/>
      <c r="BM44" s="279" t="s">
        <v>1547</v>
      </c>
      <c r="BN44" s="279"/>
      <c r="BO44" s="279"/>
      <c r="BP44" s="500">
        <f t="shared" si="76"/>
        <v>6.2E-2</v>
      </c>
      <c r="BQ44" s="973">
        <f t="shared" si="74"/>
        <v>5.5E-2</v>
      </c>
    </row>
    <row r="45" spans="1:69" s="460" customFormat="1" ht="15" customHeight="1">
      <c r="A45" s="281">
        <v>34</v>
      </c>
      <c r="B45" s="282">
        <v>419083969</v>
      </c>
      <c r="C45" s="282" t="s">
        <v>472</v>
      </c>
      <c r="D45" s="282" t="s">
        <v>528</v>
      </c>
      <c r="E45" s="282" t="s">
        <v>482</v>
      </c>
      <c r="F45" s="282" t="s">
        <v>474</v>
      </c>
      <c r="G45" s="282">
        <v>40440000</v>
      </c>
      <c r="H45" s="284">
        <v>2199</v>
      </c>
      <c r="I45" s="282">
        <v>0</v>
      </c>
      <c r="J45" s="282">
        <v>8</v>
      </c>
      <c r="K45" s="282" t="s">
        <v>481</v>
      </c>
      <c r="L45" s="282">
        <v>0</v>
      </c>
      <c r="M45" s="282" t="s">
        <v>95</v>
      </c>
      <c r="N45" s="282" t="s">
        <v>476</v>
      </c>
      <c r="O45" s="282" t="s">
        <v>1974</v>
      </c>
      <c r="P45" s="282" t="s">
        <v>107</v>
      </c>
      <c r="Q45" s="282" t="s">
        <v>1386</v>
      </c>
      <c r="R45" s="282" t="s">
        <v>1978</v>
      </c>
      <c r="S45" s="282">
        <v>71</v>
      </c>
      <c r="T45" s="282">
        <v>12.4</v>
      </c>
      <c r="U45" s="282" t="s">
        <v>1977</v>
      </c>
      <c r="V45" s="282" t="s">
        <v>1977</v>
      </c>
      <c r="W45" s="282" t="s">
        <v>507</v>
      </c>
      <c r="X45" s="282" t="s">
        <v>484</v>
      </c>
      <c r="Y45" s="282"/>
      <c r="Z45" s="282"/>
      <c r="AA45" s="282"/>
      <c r="AB45" s="279" t="s">
        <v>479</v>
      </c>
      <c r="AC45" s="282" t="s">
        <v>490</v>
      </c>
      <c r="AD45" s="282" t="s">
        <v>491</v>
      </c>
      <c r="AE45" s="282">
        <v>83969</v>
      </c>
      <c r="AF45" s="282" t="s">
        <v>507</v>
      </c>
      <c r="AG45" s="279"/>
      <c r="AH45" s="279">
        <v>0</v>
      </c>
      <c r="AI45" s="279">
        <v>20240829</v>
      </c>
      <c r="AJ45" s="462" t="s">
        <v>1152</v>
      </c>
      <c r="AK45" s="279"/>
      <c r="AL45" s="279" t="str">
        <f>IF(AB45="Y","단종모델",LEFT(N45,3)&amp;IFERROR(VLOOKUP(LEFT(N45,3)&amp;P45,#REF!,2,0),""))</f>
        <v>HDM</v>
      </c>
      <c r="AM45" s="469" t="str">
        <f t="shared" si="62"/>
        <v>팰리세이드 디젤 2.2 2WD (8인승)</v>
      </c>
      <c r="AN45" s="279">
        <f t="shared" si="63"/>
        <v>40440000</v>
      </c>
      <c r="AO45" s="279">
        <f t="shared" si="64"/>
        <v>2199</v>
      </c>
      <c r="AP45" s="279" t="str">
        <f>LEFT(K47,1)</f>
        <v>D</v>
      </c>
      <c r="AQ45" s="279">
        <f t="shared" si="65"/>
        <v>8</v>
      </c>
      <c r="AR45" s="279" t="str">
        <f t="shared" si="66"/>
        <v>RV</v>
      </c>
      <c r="AS45" s="279" t="str">
        <f t="shared" si="67"/>
        <v>다인승</v>
      </c>
      <c r="AT45" s="279" t="str">
        <f t="shared" si="68"/>
        <v>7급</v>
      </c>
      <c r="AU45" s="279" t="str">
        <f t="shared" si="69"/>
        <v>02:울산</v>
      </c>
      <c r="AV45" s="279">
        <f t="shared" si="70"/>
        <v>0</v>
      </c>
      <c r="AW45" s="279" t="str">
        <f t="shared" si="71"/>
        <v>D</v>
      </c>
      <c r="AX45" s="279" t="str">
        <f t="shared" si="72"/>
        <v>전략P</v>
      </c>
      <c r="AY45" s="468">
        <v>1.4999999999999999E-2</v>
      </c>
      <c r="AZ45" s="468"/>
      <c r="BA45" s="279" t="s">
        <v>1554</v>
      </c>
      <c r="BB45" s="279" t="s">
        <v>1552</v>
      </c>
      <c r="BC45" s="279"/>
      <c r="BD45" s="279" t="s">
        <v>1184</v>
      </c>
      <c r="BE45" s="279" t="str">
        <f t="shared" si="73"/>
        <v>현대</v>
      </c>
      <c r="BF45" s="581">
        <v>4.1000000000000002E-2</v>
      </c>
      <c r="BG45" s="281">
        <v>81000</v>
      </c>
      <c r="BH45" s="281">
        <v>291000</v>
      </c>
      <c r="BI45" s="279"/>
      <c r="BJ45" s="279"/>
      <c r="BK45" s="279"/>
      <c r="BL45" s="279"/>
      <c r="BM45" s="279" t="s">
        <v>1547</v>
      </c>
      <c r="BN45" s="279"/>
      <c r="BO45" s="279"/>
      <c r="BP45" s="500">
        <f t="shared" si="76"/>
        <v>6.2E-2</v>
      </c>
      <c r="BQ45" s="973">
        <f t="shared" si="74"/>
        <v>5.5E-2</v>
      </c>
    </row>
    <row r="46" spans="1:69" s="460" customFormat="1" ht="15" customHeight="1">
      <c r="A46" s="281">
        <v>35</v>
      </c>
      <c r="B46" s="282">
        <v>419083978</v>
      </c>
      <c r="C46" s="282" t="s">
        <v>472</v>
      </c>
      <c r="D46" s="282" t="s">
        <v>528</v>
      </c>
      <c r="E46" s="282" t="s">
        <v>482</v>
      </c>
      <c r="F46" s="282" t="s">
        <v>474</v>
      </c>
      <c r="G46" s="282">
        <v>42810000</v>
      </c>
      <c r="H46" s="284">
        <v>2199</v>
      </c>
      <c r="I46" s="282">
        <v>0</v>
      </c>
      <c r="J46" s="282">
        <v>7</v>
      </c>
      <c r="K46" s="282" t="s">
        <v>481</v>
      </c>
      <c r="L46" s="282">
        <v>0</v>
      </c>
      <c r="M46" s="282" t="s">
        <v>95</v>
      </c>
      <c r="N46" s="282" t="s">
        <v>476</v>
      </c>
      <c r="O46" s="282" t="s">
        <v>1974</v>
      </c>
      <c r="P46" s="282" t="s">
        <v>107</v>
      </c>
      <c r="Q46" s="282" t="s">
        <v>1387</v>
      </c>
      <c r="R46" s="282" t="s">
        <v>1976</v>
      </c>
      <c r="S46" s="282">
        <v>71</v>
      </c>
      <c r="T46" s="282">
        <v>11.7</v>
      </c>
      <c r="U46" s="282" t="s">
        <v>1977</v>
      </c>
      <c r="V46" s="282" t="s">
        <v>1977</v>
      </c>
      <c r="W46" s="282" t="s">
        <v>507</v>
      </c>
      <c r="X46" s="282" t="s">
        <v>484</v>
      </c>
      <c r="Y46" s="282"/>
      <c r="Z46" s="282"/>
      <c r="AA46" s="282"/>
      <c r="AB46" s="279" t="s">
        <v>479</v>
      </c>
      <c r="AC46" s="282" t="s">
        <v>490</v>
      </c>
      <c r="AD46" s="282" t="s">
        <v>491</v>
      </c>
      <c r="AE46" s="282">
        <v>83978</v>
      </c>
      <c r="AF46" s="282" t="s">
        <v>507</v>
      </c>
      <c r="AG46" s="279"/>
      <c r="AH46" s="279">
        <v>0</v>
      </c>
      <c r="AI46" s="279">
        <v>20240829</v>
      </c>
      <c r="AJ46" s="462" t="s">
        <v>1152</v>
      </c>
      <c r="AK46" s="279"/>
      <c r="AL46" s="279" t="str">
        <f>IF(AB46="Y","단종모델",LEFT(N46,3)&amp;IFERROR(VLOOKUP(LEFT(N46,3)&amp;P46,#REF!,2,0),""))</f>
        <v>HDM</v>
      </c>
      <c r="AM46" s="469" t="str">
        <f t="shared" si="62"/>
        <v>팰리세이드 디젤 2.2 4WD (7인승)</v>
      </c>
      <c r="AN46" s="279">
        <f t="shared" si="63"/>
        <v>42810000</v>
      </c>
      <c r="AO46" s="279">
        <f t="shared" si="64"/>
        <v>2199</v>
      </c>
      <c r="AP46" s="279" t="str">
        <f t="shared" ref="AP46:AP47" si="77">LEFT(K46,1)</f>
        <v>D</v>
      </c>
      <c r="AQ46" s="279">
        <f t="shared" si="65"/>
        <v>7</v>
      </c>
      <c r="AR46" s="279" t="str">
        <f t="shared" si="66"/>
        <v>RV</v>
      </c>
      <c r="AS46" s="279" t="str">
        <f t="shared" si="67"/>
        <v>다인승</v>
      </c>
      <c r="AT46" s="279" t="str">
        <f t="shared" si="68"/>
        <v>7급</v>
      </c>
      <c r="AU46" s="279" t="str">
        <f t="shared" si="69"/>
        <v>02:울산</v>
      </c>
      <c r="AV46" s="279">
        <f t="shared" si="70"/>
        <v>0</v>
      </c>
      <c r="AW46" s="279" t="str">
        <f t="shared" si="71"/>
        <v>D</v>
      </c>
      <c r="AX46" s="279" t="str">
        <f t="shared" si="72"/>
        <v>전략P</v>
      </c>
      <c r="AY46" s="468">
        <v>1.4999999999999999E-2</v>
      </c>
      <c r="AZ46" s="468"/>
      <c r="BA46" s="279" t="s">
        <v>1554</v>
      </c>
      <c r="BB46" s="279" t="s">
        <v>1552</v>
      </c>
      <c r="BC46" s="279"/>
      <c r="BD46" s="279" t="s">
        <v>1184</v>
      </c>
      <c r="BE46" s="279" t="str">
        <f t="shared" si="73"/>
        <v>현대</v>
      </c>
      <c r="BF46" s="581">
        <v>4.1000000000000002E-2</v>
      </c>
      <c r="BG46" s="281">
        <v>81000</v>
      </c>
      <c r="BH46" s="281">
        <v>291000</v>
      </c>
      <c r="BI46" s="279"/>
      <c r="BJ46" s="279"/>
      <c r="BK46" s="279"/>
      <c r="BL46" s="279"/>
      <c r="BM46" s="279" t="s">
        <v>1547</v>
      </c>
      <c r="BN46" s="279"/>
      <c r="BO46" s="279"/>
      <c r="BP46" s="500">
        <f t="shared" si="76"/>
        <v>6.2E-2</v>
      </c>
      <c r="BQ46" s="973">
        <f t="shared" si="74"/>
        <v>5.5E-2</v>
      </c>
    </row>
    <row r="47" spans="1:69" s="460" customFormat="1" ht="15" customHeight="1">
      <c r="A47" s="281">
        <v>36</v>
      </c>
      <c r="B47" s="282">
        <v>419083979</v>
      </c>
      <c r="C47" s="282" t="s">
        <v>472</v>
      </c>
      <c r="D47" s="282" t="s">
        <v>528</v>
      </c>
      <c r="E47" s="282" t="s">
        <v>482</v>
      </c>
      <c r="F47" s="282" t="s">
        <v>474</v>
      </c>
      <c r="G47" s="282">
        <v>42810000</v>
      </c>
      <c r="H47" s="284">
        <v>2199</v>
      </c>
      <c r="I47" s="282">
        <v>0</v>
      </c>
      <c r="J47" s="282">
        <v>8</v>
      </c>
      <c r="K47" s="282" t="s">
        <v>481</v>
      </c>
      <c r="L47" s="282">
        <v>0</v>
      </c>
      <c r="M47" s="282" t="s">
        <v>95</v>
      </c>
      <c r="N47" s="282" t="s">
        <v>476</v>
      </c>
      <c r="O47" s="282" t="s">
        <v>1974</v>
      </c>
      <c r="P47" s="282" t="s">
        <v>107</v>
      </c>
      <c r="Q47" s="282" t="s">
        <v>1387</v>
      </c>
      <c r="R47" s="282" t="s">
        <v>1978</v>
      </c>
      <c r="S47" s="282">
        <v>71</v>
      </c>
      <c r="T47" s="282">
        <v>11.7</v>
      </c>
      <c r="U47" s="282" t="s">
        <v>1977</v>
      </c>
      <c r="V47" s="282" t="s">
        <v>1977</v>
      </c>
      <c r="W47" s="282" t="s">
        <v>507</v>
      </c>
      <c r="X47" s="282" t="s">
        <v>484</v>
      </c>
      <c r="Y47" s="282"/>
      <c r="Z47" s="282"/>
      <c r="AA47" s="282"/>
      <c r="AB47" s="279" t="s">
        <v>479</v>
      </c>
      <c r="AC47" s="282" t="s">
        <v>490</v>
      </c>
      <c r="AD47" s="282" t="s">
        <v>491</v>
      </c>
      <c r="AE47" s="282">
        <v>83979</v>
      </c>
      <c r="AF47" s="282" t="s">
        <v>507</v>
      </c>
      <c r="AG47" s="279"/>
      <c r="AH47" s="279">
        <v>0</v>
      </c>
      <c r="AI47" s="279">
        <v>20240829</v>
      </c>
      <c r="AJ47" s="462" t="s">
        <v>1152</v>
      </c>
      <c r="AK47" s="279"/>
      <c r="AL47" s="279" t="str">
        <f>IF(AB47="Y","단종모델",LEFT(N47,3)&amp;IFERROR(VLOOKUP(LEFT(N47,3)&amp;P47,#REF!,2,0),""))</f>
        <v>HDM</v>
      </c>
      <c r="AM47" s="469" t="str">
        <f t="shared" ref="AM47" si="78">O47&amp;" "&amp;Q47&amp;" "&amp;R47</f>
        <v>팰리세이드 디젤 2.2 4WD (8인승)</v>
      </c>
      <c r="AN47" s="279">
        <f t="shared" ref="AN47" si="79">G47</f>
        <v>42810000</v>
      </c>
      <c r="AO47" s="279">
        <f t="shared" ref="AO47" si="80">H47</f>
        <v>2199</v>
      </c>
      <c r="AP47" s="279" t="str">
        <f t="shared" si="77"/>
        <v>D</v>
      </c>
      <c r="AQ47" s="279">
        <f t="shared" ref="AQ47" si="81">J47</f>
        <v>8</v>
      </c>
      <c r="AR47" s="279" t="str">
        <f t="shared" ref="AR47" si="82">RIGHT(D47,2)</f>
        <v>RV</v>
      </c>
      <c r="AS47" s="279" t="str">
        <f t="shared" ref="AS47" si="83">MID(W47,4,3)</f>
        <v>다인승</v>
      </c>
      <c r="AT47" s="279" t="str">
        <f t="shared" ref="AT47" si="84">RIGHT(AC47,2)</f>
        <v>7급</v>
      </c>
      <c r="AU47" s="279" t="str">
        <f t="shared" ref="AU47" si="85">AB47</f>
        <v>02:울산</v>
      </c>
      <c r="AV47" s="279">
        <f t="shared" ref="AV47" si="86">IF(AND(BE47="기아",AQ47&lt;7),1900,IF(AND(BE47="기아",AQ47&gt;6,AQ47&lt;11),2500,IF(AND(BE47="기아",AQ47&gt;10),3500,IF(AND(BE47="KG모빌리티",AQ47&lt;7),3650,IF(AND(BE47="KG모빌리티",AQ47&gt;6),4300,0)))))</f>
        <v>0</v>
      </c>
      <c r="AW47" s="279" t="str">
        <f t="shared" ref="AW47" si="87">LEFT(F47,1)</f>
        <v>D</v>
      </c>
      <c r="AX47" s="279" t="str">
        <f t="shared" ref="AX47" si="88">AJ47</f>
        <v>전략P</v>
      </c>
      <c r="AY47" s="468">
        <v>1.4999999999999999E-2</v>
      </c>
      <c r="AZ47" s="468"/>
      <c r="BA47" s="279" t="s">
        <v>1554</v>
      </c>
      <c r="BB47" s="279" t="s">
        <v>1552</v>
      </c>
      <c r="BC47" s="279"/>
      <c r="BD47" s="279" t="s">
        <v>1184</v>
      </c>
      <c r="BE47" s="279" t="str">
        <f t="shared" ref="BE47" si="89">M47</f>
        <v>현대</v>
      </c>
      <c r="BF47" s="581">
        <v>4.1000000000000002E-2</v>
      </c>
      <c r="BG47" s="281">
        <v>81000</v>
      </c>
      <c r="BH47" s="281">
        <v>291000</v>
      </c>
      <c r="BI47" s="279"/>
      <c r="BJ47" s="279"/>
      <c r="BK47" s="279"/>
      <c r="BL47" s="279"/>
      <c r="BM47" s="279" t="s">
        <v>1547</v>
      </c>
      <c r="BN47" s="279"/>
      <c r="BO47" s="279"/>
      <c r="BP47" s="500">
        <f t="shared" si="76"/>
        <v>6.2E-2</v>
      </c>
      <c r="BQ47" s="973">
        <f t="shared" ref="BQ47" si="90">BP47-0.007</f>
        <v>5.5E-2</v>
      </c>
    </row>
    <row r="48" spans="1:69" s="460" customFormat="1" ht="15" customHeight="1">
      <c r="A48" s="281">
        <v>37</v>
      </c>
      <c r="B48" s="282">
        <v>401487537</v>
      </c>
      <c r="C48" s="282" t="s">
        <v>472</v>
      </c>
      <c r="D48" s="282" t="s">
        <v>510</v>
      </c>
      <c r="E48" s="282" t="s">
        <v>482</v>
      </c>
      <c r="F48" s="282" t="s">
        <v>474</v>
      </c>
      <c r="G48" s="282">
        <v>36530000</v>
      </c>
      <c r="H48" s="284">
        <v>1598</v>
      </c>
      <c r="I48" s="282">
        <v>0</v>
      </c>
      <c r="J48" s="282">
        <v>11</v>
      </c>
      <c r="K48" s="282" t="s">
        <v>1290</v>
      </c>
      <c r="L48" s="282">
        <v>0</v>
      </c>
      <c r="M48" s="282" t="s">
        <v>95</v>
      </c>
      <c r="N48" s="282" t="s">
        <v>476</v>
      </c>
      <c r="O48" s="282" t="s">
        <v>564</v>
      </c>
      <c r="P48" s="282" t="s">
        <v>565</v>
      </c>
      <c r="Q48" s="282" t="s">
        <v>1291</v>
      </c>
      <c r="R48" s="282" t="s">
        <v>1381</v>
      </c>
      <c r="S48" s="282">
        <v>65</v>
      </c>
      <c r="T48" s="282">
        <v>12.6</v>
      </c>
      <c r="U48" s="282" t="s">
        <v>530</v>
      </c>
      <c r="V48" s="282" t="s">
        <v>530</v>
      </c>
      <c r="W48" s="282" t="s">
        <v>511</v>
      </c>
      <c r="X48" s="282" t="s">
        <v>478</v>
      </c>
      <c r="Y48" s="282"/>
      <c r="Z48" s="282"/>
      <c r="AA48" s="282"/>
      <c r="AB48" s="282" t="s">
        <v>479</v>
      </c>
      <c r="AC48" s="282" t="s">
        <v>509</v>
      </c>
      <c r="AD48" s="282" t="s">
        <v>491</v>
      </c>
      <c r="AE48" s="279">
        <v>87537</v>
      </c>
      <c r="AF48" s="279" t="s">
        <v>511</v>
      </c>
      <c r="AG48" s="279"/>
      <c r="AH48" s="279"/>
      <c r="AI48" s="279">
        <v>20240305</v>
      </c>
      <c r="AJ48" s="462" t="s">
        <v>1219</v>
      </c>
      <c r="AK48" s="279"/>
      <c r="AL48" s="279" t="str">
        <f>IF(AB48="Y","단종모델",LEFT(N48,3)&amp;IFERROR(VLOOKUP(LEFT(N48,3)&amp;P48,#REF!,2,0),""))</f>
        <v>HDM</v>
      </c>
      <c r="AM48" s="469" t="str">
        <f t="shared" si="0"/>
        <v>스타리아 가솔린 터보 1.6 하이브리드 투어러 11인승 2WD</v>
      </c>
      <c r="AN48" s="279">
        <f t="shared" si="5"/>
        <v>36530000</v>
      </c>
      <c r="AO48" s="279">
        <f t="shared" ref="AO48:AO49" si="91">H48</f>
        <v>1598</v>
      </c>
      <c r="AP48" s="279" t="str">
        <f>LEFT(K48,1)</f>
        <v>V</v>
      </c>
      <c r="AQ48" s="279">
        <f t="shared" ref="AQ48:AQ49" si="92">J48</f>
        <v>11</v>
      </c>
      <c r="AR48" s="279" t="str">
        <f t="shared" ref="AR48:AR49" si="93">RIGHT(D48,2)</f>
        <v>승합</v>
      </c>
      <c r="AS48" s="279" t="str">
        <f t="shared" ref="AS48:AS49" si="94">MID(W48,4,3)</f>
        <v>승합</v>
      </c>
      <c r="AT48" s="279" t="str">
        <f t="shared" ref="AT48:AT49" si="95">RIGHT(AC48,2)</f>
        <v>8급</v>
      </c>
      <c r="AU48" s="279" t="str">
        <f t="shared" ref="AU48:AU49" si="96">AB48</f>
        <v>02:울산</v>
      </c>
      <c r="AV48" s="279">
        <f t="shared" si="11"/>
        <v>0</v>
      </c>
      <c r="AW48" s="279" t="str">
        <f t="shared" ref="AW48:AW49" si="97">LEFT(F48,1)</f>
        <v>D</v>
      </c>
      <c r="AX48" s="279" t="str">
        <f t="shared" ref="AX48:AX49" si="98">AJ48</f>
        <v>일반</v>
      </c>
      <c r="AY48" s="468">
        <v>2.5000000000000001E-2</v>
      </c>
      <c r="AZ48" s="468"/>
      <c r="BA48" s="1168" t="s">
        <v>1646</v>
      </c>
      <c r="BB48" s="279" t="s">
        <v>1554</v>
      </c>
      <c r="BC48" s="279"/>
      <c r="BD48" s="279" t="s">
        <v>1474</v>
      </c>
      <c r="BE48" s="279" t="str">
        <f t="shared" si="4"/>
        <v>현대</v>
      </c>
      <c r="BF48" s="581">
        <v>4.1000000000000002E-2</v>
      </c>
      <c r="BG48" s="281">
        <v>88000</v>
      </c>
      <c r="BH48" s="281">
        <v>312000</v>
      </c>
      <c r="BI48" s="279"/>
      <c r="BJ48" s="279"/>
      <c r="BK48" s="279"/>
      <c r="BL48" s="279"/>
      <c r="BM48" s="279" t="s">
        <v>1547</v>
      </c>
      <c r="BN48" s="279"/>
      <c r="BO48" s="279"/>
      <c r="BP48" s="500">
        <f t="shared" si="13"/>
        <v>9.2999999999999999E-2</v>
      </c>
      <c r="BQ48" s="973">
        <f t="shared" ref="BQ48:BQ49" si="99">BP48-0.007</f>
        <v>8.5999999999999993E-2</v>
      </c>
    </row>
    <row r="49" spans="1:69" s="460" customFormat="1" ht="15" customHeight="1">
      <c r="A49" s="281">
        <v>38</v>
      </c>
      <c r="B49" s="282">
        <v>401487538</v>
      </c>
      <c r="C49" s="282" t="s">
        <v>472</v>
      </c>
      <c r="D49" s="282" t="s">
        <v>528</v>
      </c>
      <c r="E49" s="282" t="s">
        <v>482</v>
      </c>
      <c r="F49" s="282" t="s">
        <v>474</v>
      </c>
      <c r="G49" s="282">
        <v>36530000</v>
      </c>
      <c r="H49" s="284">
        <v>1598</v>
      </c>
      <c r="I49" s="282">
        <v>0</v>
      </c>
      <c r="J49" s="282">
        <v>9</v>
      </c>
      <c r="K49" s="282" t="s">
        <v>1290</v>
      </c>
      <c r="L49" s="282">
        <v>0</v>
      </c>
      <c r="M49" s="282" t="s">
        <v>95</v>
      </c>
      <c r="N49" s="282" t="s">
        <v>476</v>
      </c>
      <c r="O49" s="282" t="s">
        <v>564</v>
      </c>
      <c r="P49" s="282" t="s">
        <v>565</v>
      </c>
      <c r="Q49" s="282" t="s">
        <v>1291</v>
      </c>
      <c r="R49" s="282" t="s">
        <v>1377</v>
      </c>
      <c r="S49" s="282">
        <v>65</v>
      </c>
      <c r="T49" s="282">
        <v>12.6</v>
      </c>
      <c r="U49" s="282" t="s">
        <v>530</v>
      </c>
      <c r="V49" s="282" t="s">
        <v>530</v>
      </c>
      <c r="W49" s="282" t="s">
        <v>554</v>
      </c>
      <c r="X49" s="282" t="s">
        <v>478</v>
      </c>
      <c r="Y49" s="282"/>
      <c r="Z49" s="282"/>
      <c r="AA49" s="282"/>
      <c r="AB49" s="282" t="s">
        <v>479</v>
      </c>
      <c r="AC49" s="282" t="s">
        <v>490</v>
      </c>
      <c r="AD49" s="282" t="s">
        <v>491</v>
      </c>
      <c r="AE49" s="279">
        <v>87538</v>
      </c>
      <c r="AF49" s="279" t="s">
        <v>507</v>
      </c>
      <c r="AG49" s="279"/>
      <c r="AH49" s="279"/>
      <c r="AI49" s="279">
        <v>20240305</v>
      </c>
      <c r="AJ49" s="462" t="s">
        <v>1219</v>
      </c>
      <c r="AK49" s="279"/>
      <c r="AL49" s="279" t="str">
        <f>IF(AB49="Y","단종모델",LEFT(N49,3)&amp;IFERROR(VLOOKUP(LEFT(N49,3)&amp;P49,#REF!,2,0),""))</f>
        <v>HDM</v>
      </c>
      <c r="AM49" s="469" t="str">
        <f t="shared" si="0"/>
        <v>스타리아 가솔린 터보 1.6 하이브리드 투어러 9인승 2WD</v>
      </c>
      <c r="AN49" s="279">
        <f t="shared" si="5"/>
        <v>36530000</v>
      </c>
      <c r="AO49" s="279">
        <f t="shared" si="91"/>
        <v>1598</v>
      </c>
      <c r="AP49" s="279" t="str">
        <f t="shared" ref="AP49" si="100">LEFT(K49,1)</f>
        <v>V</v>
      </c>
      <c r="AQ49" s="279">
        <f t="shared" si="92"/>
        <v>9</v>
      </c>
      <c r="AR49" s="279" t="str">
        <f t="shared" si="93"/>
        <v>RV</v>
      </c>
      <c r="AS49" s="279" t="str">
        <f t="shared" si="94"/>
        <v>다인승</v>
      </c>
      <c r="AT49" s="279" t="str">
        <f t="shared" si="95"/>
        <v>7급</v>
      </c>
      <c r="AU49" s="279" t="str">
        <f t="shared" si="96"/>
        <v>02:울산</v>
      </c>
      <c r="AV49" s="279">
        <f t="shared" si="11"/>
        <v>0</v>
      </c>
      <c r="AW49" s="279" t="str">
        <f t="shared" si="97"/>
        <v>D</v>
      </c>
      <c r="AX49" s="279" t="str">
        <f t="shared" si="98"/>
        <v>일반</v>
      </c>
      <c r="AY49" s="468">
        <v>2.5000000000000001E-2</v>
      </c>
      <c r="AZ49" s="468"/>
      <c r="BA49" s="1168" t="s">
        <v>1646</v>
      </c>
      <c r="BB49" s="279" t="s">
        <v>1554</v>
      </c>
      <c r="BC49" s="279"/>
      <c r="BD49" s="279" t="s">
        <v>1474</v>
      </c>
      <c r="BE49" s="279" t="str">
        <f t="shared" si="4"/>
        <v>현대</v>
      </c>
      <c r="BF49" s="581">
        <v>4.1000000000000002E-2</v>
      </c>
      <c r="BG49" s="281">
        <v>88000</v>
      </c>
      <c r="BH49" s="281">
        <v>312000</v>
      </c>
      <c r="BI49" s="279"/>
      <c r="BJ49" s="279"/>
      <c r="BK49" s="279"/>
      <c r="BL49" s="279"/>
      <c r="BM49" s="279" t="s">
        <v>1547</v>
      </c>
      <c r="BN49" s="279"/>
      <c r="BO49" s="279"/>
      <c r="BP49" s="500">
        <f t="shared" si="13"/>
        <v>9.2999999999999999E-2</v>
      </c>
      <c r="BQ49" s="973">
        <f t="shared" si="99"/>
        <v>8.5999999999999993E-2</v>
      </c>
    </row>
    <row r="50" spans="1:69" s="460" customFormat="1" ht="15" customHeight="1">
      <c r="A50" s="281">
        <v>39</v>
      </c>
      <c r="B50" s="279">
        <v>401474054</v>
      </c>
      <c r="C50" s="279" t="s">
        <v>472</v>
      </c>
      <c r="D50" s="279" t="s">
        <v>528</v>
      </c>
      <c r="E50" s="279" t="s">
        <v>482</v>
      </c>
      <c r="F50" s="279" t="s">
        <v>474</v>
      </c>
      <c r="G50" s="279">
        <v>30840000</v>
      </c>
      <c r="H50" s="279">
        <v>2199</v>
      </c>
      <c r="I50" s="279">
        <v>0</v>
      </c>
      <c r="J50" s="279">
        <v>9</v>
      </c>
      <c r="K50" s="279" t="s">
        <v>481</v>
      </c>
      <c r="L50" s="279">
        <v>0</v>
      </c>
      <c r="M50" s="279" t="s">
        <v>95</v>
      </c>
      <c r="N50" s="279" t="s">
        <v>476</v>
      </c>
      <c r="O50" s="279" t="s">
        <v>564</v>
      </c>
      <c r="P50" s="279" t="s">
        <v>565</v>
      </c>
      <c r="Q50" s="279" t="s">
        <v>1028</v>
      </c>
      <c r="R50" s="279" t="s">
        <v>986</v>
      </c>
      <c r="S50" s="279">
        <v>75</v>
      </c>
      <c r="T50" s="279">
        <v>11.3</v>
      </c>
      <c r="U50" s="279" t="s">
        <v>530</v>
      </c>
      <c r="V50" s="279" t="s">
        <v>530</v>
      </c>
      <c r="W50" s="279" t="s">
        <v>554</v>
      </c>
      <c r="X50" s="279" t="s">
        <v>484</v>
      </c>
      <c r="Y50" s="279"/>
      <c r="Z50" s="279"/>
      <c r="AA50" s="279"/>
      <c r="AB50" s="279" t="s">
        <v>479</v>
      </c>
      <c r="AC50" s="279" t="s">
        <v>490</v>
      </c>
      <c r="AD50" s="279" t="s">
        <v>491</v>
      </c>
      <c r="AE50" s="279">
        <v>74054</v>
      </c>
      <c r="AF50" s="279" t="s">
        <v>507</v>
      </c>
      <c r="AG50" s="279"/>
      <c r="AH50" s="279"/>
      <c r="AI50" s="279">
        <v>20230509</v>
      </c>
      <c r="AJ50" s="462" t="s">
        <v>1219</v>
      </c>
      <c r="AK50" s="279"/>
      <c r="AL50" s="279" t="str">
        <f>IF(AB50="Y","단종모델",LEFT(N50,3)&amp;IFERROR(VLOOKUP(LEFT(N50,3)&amp;P50,#REF!,2,0),""))</f>
        <v>HDM</v>
      </c>
      <c r="AM50" s="469" t="str">
        <f t="shared" si="0"/>
        <v>스타리아 디젤 2.2 투어러 9인승 2WD</v>
      </c>
      <c r="AN50" s="279">
        <f t="shared" si="5"/>
        <v>30840000</v>
      </c>
      <c r="AO50" s="279">
        <f t="shared" si="6"/>
        <v>2199</v>
      </c>
      <c r="AP50" s="279" t="str">
        <f t="shared" si="7"/>
        <v>D</v>
      </c>
      <c r="AQ50" s="279">
        <f t="shared" si="8"/>
        <v>9</v>
      </c>
      <c r="AR50" s="279" t="str">
        <f t="shared" si="9"/>
        <v>RV</v>
      </c>
      <c r="AS50" s="279" t="str">
        <f t="shared" si="10"/>
        <v>다인승</v>
      </c>
      <c r="AT50" s="279" t="str">
        <f t="shared" si="1"/>
        <v>7급</v>
      </c>
      <c r="AU50" s="279" t="str">
        <f t="shared" si="2"/>
        <v>02:울산</v>
      </c>
      <c r="AV50" s="279">
        <f t="shared" si="11"/>
        <v>0</v>
      </c>
      <c r="AW50" s="279" t="str">
        <f t="shared" si="3"/>
        <v>D</v>
      </c>
      <c r="AX50" s="279" t="str">
        <f t="shared" si="12"/>
        <v>일반</v>
      </c>
      <c r="AY50" s="468">
        <v>2.5000000000000001E-2</v>
      </c>
      <c r="AZ50" s="468"/>
      <c r="BA50" s="1168" t="s">
        <v>1646</v>
      </c>
      <c r="BB50" s="279" t="s">
        <v>1633</v>
      </c>
      <c r="BC50" s="279"/>
      <c r="BD50" s="279" t="s">
        <v>1474</v>
      </c>
      <c r="BE50" s="279" t="str">
        <f t="shared" si="4"/>
        <v>현대</v>
      </c>
      <c r="BF50" s="581">
        <v>4.1000000000000002E-2</v>
      </c>
      <c r="BG50" s="281">
        <v>88000</v>
      </c>
      <c r="BH50" s="281">
        <v>312000</v>
      </c>
      <c r="BI50" s="279"/>
      <c r="BJ50" s="279"/>
      <c r="BK50" s="279"/>
      <c r="BL50" s="279"/>
      <c r="BM50" s="279" t="s">
        <v>1547</v>
      </c>
      <c r="BN50" s="279"/>
      <c r="BO50" s="279"/>
      <c r="BP50" s="500">
        <f t="shared" si="13"/>
        <v>9.2999999999999999E-2</v>
      </c>
      <c r="BQ50" s="973">
        <f t="shared" si="14"/>
        <v>8.5999999999999993E-2</v>
      </c>
    </row>
    <row r="51" spans="1:69" s="460" customFormat="1" ht="15" customHeight="1">
      <c r="A51" s="281">
        <v>40</v>
      </c>
      <c r="B51" s="279">
        <v>401474064</v>
      </c>
      <c r="C51" s="279" t="s">
        <v>472</v>
      </c>
      <c r="D51" s="279" t="s">
        <v>528</v>
      </c>
      <c r="E51" s="279" t="s">
        <v>482</v>
      </c>
      <c r="F51" s="279" t="s">
        <v>474</v>
      </c>
      <c r="G51" s="279">
        <v>32790000</v>
      </c>
      <c r="H51" s="279">
        <v>2199</v>
      </c>
      <c r="I51" s="279">
        <v>0</v>
      </c>
      <c r="J51" s="279">
        <v>9</v>
      </c>
      <c r="K51" s="279" t="s">
        <v>481</v>
      </c>
      <c r="L51" s="279">
        <v>0</v>
      </c>
      <c r="M51" s="279" t="s">
        <v>95</v>
      </c>
      <c r="N51" s="279" t="s">
        <v>476</v>
      </c>
      <c r="O51" s="279" t="s">
        <v>564</v>
      </c>
      <c r="P51" s="279" t="s">
        <v>565</v>
      </c>
      <c r="Q51" s="279" t="s">
        <v>1028</v>
      </c>
      <c r="R51" s="279" t="s">
        <v>991</v>
      </c>
      <c r="S51" s="279">
        <v>75</v>
      </c>
      <c r="T51" s="279">
        <v>10.3</v>
      </c>
      <c r="U51" s="279" t="s">
        <v>530</v>
      </c>
      <c r="V51" s="279" t="s">
        <v>530</v>
      </c>
      <c r="W51" s="279" t="s">
        <v>554</v>
      </c>
      <c r="X51" s="279" t="s">
        <v>484</v>
      </c>
      <c r="Y51" s="279"/>
      <c r="Z51" s="279"/>
      <c r="AA51" s="279"/>
      <c r="AB51" s="279" t="s">
        <v>479</v>
      </c>
      <c r="AC51" s="279" t="s">
        <v>490</v>
      </c>
      <c r="AD51" s="279" t="s">
        <v>491</v>
      </c>
      <c r="AE51" s="279">
        <v>74064</v>
      </c>
      <c r="AF51" s="279" t="s">
        <v>507</v>
      </c>
      <c r="AG51" s="279"/>
      <c r="AH51" s="279"/>
      <c r="AI51" s="279">
        <v>20230509</v>
      </c>
      <c r="AJ51" s="462" t="s">
        <v>1219</v>
      </c>
      <c r="AK51" s="279"/>
      <c r="AL51" s="279" t="str">
        <f>IF(AB51="Y","단종모델",LEFT(N51,3)&amp;IFERROR(VLOOKUP(LEFT(N51,3)&amp;P51,#REF!,2,0),""))</f>
        <v>HDM</v>
      </c>
      <c r="AM51" s="469" t="str">
        <f t="shared" si="0"/>
        <v>스타리아 디젤 2.2 투어러 9인승 4WD</v>
      </c>
      <c r="AN51" s="279">
        <f t="shared" si="5"/>
        <v>32790000</v>
      </c>
      <c r="AO51" s="279">
        <f t="shared" si="6"/>
        <v>2199</v>
      </c>
      <c r="AP51" s="279" t="str">
        <f t="shared" si="7"/>
        <v>D</v>
      </c>
      <c r="AQ51" s="279">
        <f t="shared" si="8"/>
        <v>9</v>
      </c>
      <c r="AR51" s="279" t="str">
        <f t="shared" si="9"/>
        <v>RV</v>
      </c>
      <c r="AS51" s="279" t="str">
        <f t="shared" si="10"/>
        <v>다인승</v>
      </c>
      <c r="AT51" s="279" t="str">
        <f t="shared" si="1"/>
        <v>7급</v>
      </c>
      <c r="AU51" s="279" t="str">
        <f t="shared" si="2"/>
        <v>02:울산</v>
      </c>
      <c r="AV51" s="279">
        <f t="shared" si="11"/>
        <v>0</v>
      </c>
      <c r="AW51" s="279" t="str">
        <f t="shared" si="3"/>
        <v>D</v>
      </c>
      <c r="AX51" s="279" t="str">
        <f t="shared" si="12"/>
        <v>일반</v>
      </c>
      <c r="AY51" s="468">
        <v>2.5000000000000001E-2</v>
      </c>
      <c r="AZ51" s="468"/>
      <c r="BA51" s="1168" t="s">
        <v>1646</v>
      </c>
      <c r="BB51" s="279" t="s">
        <v>1633</v>
      </c>
      <c r="BC51" s="279"/>
      <c r="BD51" s="279" t="s">
        <v>1474</v>
      </c>
      <c r="BE51" s="279" t="str">
        <f t="shared" si="4"/>
        <v>현대</v>
      </c>
      <c r="BF51" s="581">
        <v>4.1000000000000002E-2</v>
      </c>
      <c r="BG51" s="281">
        <v>88000</v>
      </c>
      <c r="BH51" s="281">
        <v>312000</v>
      </c>
      <c r="BI51" s="279"/>
      <c r="BJ51" s="279"/>
      <c r="BK51" s="279"/>
      <c r="BL51" s="279"/>
      <c r="BM51" s="279" t="s">
        <v>1547</v>
      </c>
      <c r="BN51" s="279"/>
      <c r="BO51" s="279"/>
      <c r="BP51" s="500">
        <f t="shared" si="13"/>
        <v>9.2999999999999999E-2</v>
      </c>
      <c r="BQ51" s="973">
        <f t="shared" si="14"/>
        <v>8.5999999999999993E-2</v>
      </c>
    </row>
    <row r="52" spans="1:69" s="460" customFormat="1" ht="15" customHeight="1">
      <c r="A52" s="281">
        <v>41</v>
      </c>
      <c r="B52" s="279">
        <v>401474055</v>
      </c>
      <c r="C52" s="279" t="s">
        <v>472</v>
      </c>
      <c r="D52" s="279" t="s">
        <v>510</v>
      </c>
      <c r="E52" s="279" t="s">
        <v>482</v>
      </c>
      <c r="F52" s="279" t="s">
        <v>474</v>
      </c>
      <c r="G52" s="279">
        <v>29320000</v>
      </c>
      <c r="H52" s="279">
        <v>2199</v>
      </c>
      <c r="I52" s="279">
        <v>0</v>
      </c>
      <c r="J52" s="279">
        <v>11</v>
      </c>
      <c r="K52" s="279" t="s">
        <v>481</v>
      </c>
      <c r="L52" s="279">
        <v>0</v>
      </c>
      <c r="M52" s="279" t="s">
        <v>95</v>
      </c>
      <c r="N52" s="279" t="s">
        <v>476</v>
      </c>
      <c r="O52" s="279" t="s">
        <v>564</v>
      </c>
      <c r="P52" s="279" t="s">
        <v>565</v>
      </c>
      <c r="Q52" s="279" t="s">
        <v>1028</v>
      </c>
      <c r="R52" s="279" t="s">
        <v>987</v>
      </c>
      <c r="S52" s="279">
        <v>75</v>
      </c>
      <c r="T52" s="279">
        <v>10.8</v>
      </c>
      <c r="U52" s="279" t="s">
        <v>530</v>
      </c>
      <c r="V52" s="279" t="s">
        <v>530</v>
      </c>
      <c r="W52" s="279" t="s">
        <v>511</v>
      </c>
      <c r="X52" s="279" t="s">
        <v>484</v>
      </c>
      <c r="Y52" s="279"/>
      <c r="Z52" s="279"/>
      <c r="AA52" s="279"/>
      <c r="AB52" s="279" t="s">
        <v>479</v>
      </c>
      <c r="AC52" s="279" t="s">
        <v>509</v>
      </c>
      <c r="AD52" s="279" t="s">
        <v>491</v>
      </c>
      <c r="AE52" s="279">
        <v>74055</v>
      </c>
      <c r="AF52" s="279" t="s">
        <v>511</v>
      </c>
      <c r="AG52" s="279"/>
      <c r="AH52" s="279"/>
      <c r="AI52" s="279">
        <v>20230509</v>
      </c>
      <c r="AJ52" s="462" t="s">
        <v>1219</v>
      </c>
      <c r="AK52" s="279"/>
      <c r="AL52" s="279" t="str">
        <f>IF(AB52="Y","단종모델",LEFT(N52,3)&amp;IFERROR(VLOOKUP(LEFT(N52,3)&amp;P52,#REF!,2,0),""))</f>
        <v>HDM</v>
      </c>
      <c r="AM52" s="469" t="str">
        <f t="shared" si="0"/>
        <v>스타리아 디젤 2.2 투어러 11인승 2WD</v>
      </c>
      <c r="AN52" s="279">
        <f t="shared" si="5"/>
        <v>29320000</v>
      </c>
      <c r="AO52" s="279">
        <f t="shared" si="6"/>
        <v>2199</v>
      </c>
      <c r="AP52" s="279" t="str">
        <f t="shared" si="7"/>
        <v>D</v>
      </c>
      <c r="AQ52" s="279">
        <f t="shared" si="8"/>
        <v>11</v>
      </c>
      <c r="AR52" s="279" t="str">
        <f t="shared" si="9"/>
        <v>승합</v>
      </c>
      <c r="AS52" s="279" t="str">
        <f t="shared" si="10"/>
        <v>승합</v>
      </c>
      <c r="AT52" s="279" t="str">
        <f t="shared" si="1"/>
        <v>8급</v>
      </c>
      <c r="AU52" s="279" t="str">
        <f t="shared" si="2"/>
        <v>02:울산</v>
      </c>
      <c r="AV52" s="279">
        <f t="shared" si="11"/>
        <v>0</v>
      </c>
      <c r="AW52" s="279" t="str">
        <f t="shared" si="3"/>
        <v>D</v>
      </c>
      <c r="AX52" s="279" t="str">
        <f t="shared" si="12"/>
        <v>일반</v>
      </c>
      <c r="AY52" s="468">
        <v>2.5000000000000001E-2</v>
      </c>
      <c r="AZ52" s="468"/>
      <c r="BA52" s="1168" t="s">
        <v>1646</v>
      </c>
      <c r="BB52" s="279" t="s">
        <v>1633</v>
      </c>
      <c r="BC52" s="279"/>
      <c r="BD52" s="279" t="s">
        <v>1474</v>
      </c>
      <c r="BE52" s="279" t="str">
        <f t="shared" si="4"/>
        <v>현대</v>
      </c>
      <c r="BF52" s="581">
        <v>4.1000000000000002E-2</v>
      </c>
      <c r="BG52" s="281">
        <v>88000</v>
      </c>
      <c r="BH52" s="281">
        <v>312000</v>
      </c>
      <c r="BI52" s="279"/>
      <c r="BJ52" s="279"/>
      <c r="BK52" s="279"/>
      <c r="BL52" s="279"/>
      <c r="BM52" s="279" t="s">
        <v>1547</v>
      </c>
      <c r="BN52" s="279"/>
      <c r="BO52" s="279"/>
      <c r="BP52" s="500">
        <f t="shared" si="13"/>
        <v>9.2999999999999999E-2</v>
      </c>
      <c r="BQ52" s="973">
        <f t="shared" si="14"/>
        <v>8.5999999999999993E-2</v>
      </c>
    </row>
    <row r="53" spans="1:69" s="460" customFormat="1" ht="15" customHeight="1">
      <c r="A53" s="281">
        <v>42</v>
      </c>
      <c r="B53" s="279">
        <v>401474062</v>
      </c>
      <c r="C53" s="279" t="s">
        <v>472</v>
      </c>
      <c r="D53" s="279" t="s">
        <v>510</v>
      </c>
      <c r="E53" s="279" t="s">
        <v>482</v>
      </c>
      <c r="F53" s="279" t="s">
        <v>474</v>
      </c>
      <c r="G53" s="279">
        <v>31270000</v>
      </c>
      <c r="H53" s="279">
        <v>2199</v>
      </c>
      <c r="I53" s="279">
        <v>0</v>
      </c>
      <c r="J53" s="279">
        <v>11</v>
      </c>
      <c r="K53" s="279" t="s">
        <v>481</v>
      </c>
      <c r="L53" s="279">
        <v>0</v>
      </c>
      <c r="M53" s="279" t="s">
        <v>95</v>
      </c>
      <c r="N53" s="279" t="s">
        <v>476</v>
      </c>
      <c r="O53" s="279" t="s">
        <v>564</v>
      </c>
      <c r="P53" s="279" t="s">
        <v>565</v>
      </c>
      <c r="Q53" s="279" t="s">
        <v>1028</v>
      </c>
      <c r="R53" s="279" t="s">
        <v>990</v>
      </c>
      <c r="S53" s="279">
        <v>75</v>
      </c>
      <c r="T53" s="279">
        <v>10.3</v>
      </c>
      <c r="U53" s="279" t="s">
        <v>530</v>
      </c>
      <c r="V53" s="279" t="s">
        <v>530</v>
      </c>
      <c r="W53" s="279" t="s">
        <v>511</v>
      </c>
      <c r="X53" s="279" t="s">
        <v>484</v>
      </c>
      <c r="Y53" s="279"/>
      <c r="Z53" s="279"/>
      <c r="AA53" s="279"/>
      <c r="AB53" s="279" t="s">
        <v>479</v>
      </c>
      <c r="AC53" s="279" t="s">
        <v>509</v>
      </c>
      <c r="AD53" s="279" t="s">
        <v>491</v>
      </c>
      <c r="AE53" s="279">
        <v>74062</v>
      </c>
      <c r="AF53" s="279" t="s">
        <v>511</v>
      </c>
      <c r="AG53" s="279"/>
      <c r="AH53" s="279"/>
      <c r="AI53" s="279">
        <v>20230509</v>
      </c>
      <c r="AJ53" s="462" t="s">
        <v>1219</v>
      </c>
      <c r="AK53" s="279"/>
      <c r="AL53" s="279" t="str">
        <f>IF(AB53="Y","단종모델",LEFT(N53,3)&amp;IFERROR(VLOOKUP(LEFT(N53,3)&amp;P53,#REF!,2,0),""))</f>
        <v>HDM</v>
      </c>
      <c r="AM53" s="469" t="str">
        <f t="shared" si="0"/>
        <v>스타리아 디젤 2.2 투어러 11인승 4WD</v>
      </c>
      <c r="AN53" s="279">
        <f t="shared" si="5"/>
        <v>31270000</v>
      </c>
      <c r="AO53" s="279">
        <f t="shared" si="6"/>
        <v>2199</v>
      </c>
      <c r="AP53" s="279" t="str">
        <f t="shared" si="7"/>
        <v>D</v>
      </c>
      <c r="AQ53" s="279">
        <f t="shared" si="8"/>
        <v>11</v>
      </c>
      <c r="AR53" s="279" t="str">
        <f t="shared" si="9"/>
        <v>승합</v>
      </c>
      <c r="AS53" s="279" t="str">
        <f t="shared" si="10"/>
        <v>승합</v>
      </c>
      <c r="AT53" s="279" t="str">
        <f t="shared" si="1"/>
        <v>8급</v>
      </c>
      <c r="AU53" s="279" t="str">
        <f t="shared" si="2"/>
        <v>02:울산</v>
      </c>
      <c r="AV53" s="279">
        <f t="shared" si="11"/>
        <v>0</v>
      </c>
      <c r="AW53" s="279" t="str">
        <f t="shared" si="3"/>
        <v>D</v>
      </c>
      <c r="AX53" s="279" t="str">
        <f t="shared" si="12"/>
        <v>일반</v>
      </c>
      <c r="AY53" s="468">
        <v>2.5000000000000001E-2</v>
      </c>
      <c r="AZ53" s="468"/>
      <c r="BA53" s="1168" t="s">
        <v>1646</v>
      </c>
      <c r="BB53" s="279" t="s">
        <v>1633</v>
      </c>
      <c r="BC53" s="279"/>
      <c r="BD53" s="279" t="s">
        <v>1474</v>
      </c>
      <c r="BE53" s="279" t="str">
        <f t="shared" si="4"/>
        <v>현대</v>
      </c>
      <c r="BF53" s="581">
        <v>4.1000000000000002E-2</v>
      </c>
      <c r="BG53" s="281">
        <v>88000</v>
      </c>
      <c r="BH53" s="281">
        <v>312000</v>
      </c>
      <c r="BI53" s="279"/>
      <c r="BJ53" s="279"/>
      <c r="BK53" s="279"/>
      <c r="BL53" s="279"/>
      <c r="BM53" s="279" t="s">
        <v>1547</v>
      </c>
      <c r="BN53" s="279"/>
      <c r="BO53" s="279"/>
      <c r="BP53" s="500">
        <f t="shared" si="13"/>
        <v>9.2999999999999999E-2</v>
      </c>
      <c r="BQ53" s="973">
        <f t="shared" si="14"/>
        <v>8.5999999999999993E-2</v>
      </c>
    </row>
    <row r="54" spans="1:69" s="460" customFormat="1" ht="15" customHeight="1">
      <c r="A54" s="281">
        <v>43</v>
      </c>
      <c r="B54" s="279">
        <v>401474059</v>
      </c>
      <c r="C54" s="279" t="s">
        <v>472</v>
      </c>
      <c r="D54" s="279" t="s">
        <v>528</v>
      </c>
      <c r="E54" s="279" t="s">
        <v>482</v>
      </c>
      <c r="F54" s="279" t="s">
        <v>474</v>
      </c>
      <c r="G54" s="279">
        <v>30540000</v>
      </c>
      <c r="H54" s="279">
        <v>3470</v>
      </c>
      <c r="I54" s="279">
        <v>0</v>
      </c>
      <c r="J54" s="279">
        <v>9</v>
      </c>
      <c r="K54" s="279" t="s">
        <v>508</v>
      </c>
      <c r="L54" s="279">
        <v>0</v>
      </c>
      <c r="M54" s="279" t="s">
        <v>95</v>
      </c>
      <c r="N54" s="279" t="s">
        <v>476</v>
      </c>
      <c r="O54" s="279" t="s">
        <v>564</v>
      </c>
      <c r="P54" s="279" t="s">
        <v>565</v>
      </c>
      <c r="Q54" s="279" t="s">
        <v>1029</v>
      </c>
      <c r="R54" s="279" t="s">
        <v>988</v>
      </c>
      <c r="S54" s="279">
        <v>85</v>
      </c>
      <c r="T54" s="279">
        <v>6.7</v>
      </c>
      <c r="U54" s="279" t="s">
        <v>530</v>
      </c>
      <c r="V54" s="279" t="s">
        <v>530</v>
      </c>
      <c r="W54" s="279" t="s">
        <v>554</v>
      </c>
      <c r="X54" s="279" t="s">
        <v>484</v>
      </c>
      <c r="Y54" s="279"/>
      <c r="Z54" s="279"/>
      <c r="AA54" s="279"/>
      <c r="AB54" s="279" t="s">
        <v>479</v>
      </c>
      <c r="AC54" s="279" t="s">
        <v>490</v>
      </c>
      <c r="AD54" s="279" t="s">
        <v>491</v>
      </c>
      <c r="AE54" s="279">
        <v>74059</v>
      </c>
      <c r="AF54" s="279" t="s">
        <v>507</v>
      </c>
      <c r="AG54" s="279"/>
      <c r="AH54" s="279"/>
      <c r="AI54" s="279">
        <v>20230509</v>
      </c>
      <c r="AJ54" s="462" t="s">
        <v>1219</v>
      </c>
      <c r="AK54" s="279"/>
      <c r="AL54" s="279" t="str">
        <f>IF(AB54="Y","단종모델",LEFT(N54,3)&amp;IFERROR(VLOOKUP(LEFT(N54,3)&amp;P54,#REF!,2,0),""))</f>
        <v>HDM</v>
      </c>
      <c r="AM54" s="469" t="str">
        <f t="shared" si="0"/>
        <v>스타리아 LPG 3.5 투어러 9인승</v>
      </c>
      <c r="AN54" s="279">
        <f t="shared" si="5"/>
        <v>30540000</v>
      </c>
      <c r="AO54" s="279">
        <f t="shared" si="6"/>
        <v>3470</v>
      </c>
      <c r="AP54" s="279" t="str">
        <f t="shared" si="7"/>
        <v>L</v>
      </c>
      <c r="AQ54" s="279">
        <f t="shared" si="8"/>
        <v>9</v>
      </c>
      <c r="AR54" s="279" t="str">
        <f t="shared" si="9"/>
        <v>RV</v>
      </c>
      <c r="AS54" s="279" t="str">
        <f t="shared" si="10"/>
        <v>다인승</v>
      </c>
      <c r="AT54" s="279" t="str">
        <f t="shared" si="1"/>
        <v>7급</v>
      </c>
      <c r="AU54" s="279" t="str">
        <f t="shared" si="2"/>
        <v>02:울산</v>
      </c>
      <c r="AV54" s="279">
        <f t="shared" si="11"/>
        <v>0</v>
      </c>
      <c r="AW54" s="279" t="str">
        <f t="shared" si="3"/>
        <v>D</v>
      </c>
      <c r="AX54" s="279" t="str">
        <f t="shared" si="12"/>
        <v>일반</v>
      </c>
      <c r="AY54" s="468">
        <v>2.5000000000000001E-2</v>
      </c>
      <c r="AZ54" s="468"/>
      <c r="BA54" s="1168" t="s">
        <v>1646</v>
      </c>
      <c r="BB54" s="279" t="s">
        <v>1633</v>
      </c>
      <c r="BC54" s="279"/>
      <c r="BD54" s="279" t="s">
        <v>1474</v>
      </c>
      <c r="BE54" s="279" t="str">
        <f t="shared" si="4"/>
        <v>현대</v>
      </c>
      <c r="BF54" s="581">
        <v>4.1000000000000002E-2</v>
      </c>
      <c r="BG54" s="281">
        <v>88000</v>
      </c>
      <c r="BH54" s="281">
        <v>312000</v>
      </c>
      <c r="BI54" s="279"/>
      <c r="BJ54" s="279"/>
      <c r="BK54" s="279"/>
      <c r="BL54" s="279"/>
      <c r="BM54" s="279" t="s">
        <v>1547</v>
      </c>
      <c r="BN54" s="279"/>
      <c r="BO54" s="279"/>
      <c r="BP54" s="500">
        <f t="shared" si="13"/>
        <v>9.2999999999999999E-2</v>
      </c>
      <c r="BQ54" s="973">
        <f t="shared" si="14"/>
        <v>8.5999999999999993E-2</v>
      </c>
    </row>
    <row r="55" spans="1:69" s="460" customFormat="1" ht="15" customHeight="1">
      <c r="A55" s="281">
        <v>44</v>
      </c>
      <c r="B55" s="279">
        <v>401474060</v>
      </c>
      <c r="C55" s="279" t="s">
        <v>472</v>
      </c>
      <c r="D55" s="279" t="s">
        <v>510</v>
      </c>
      <c r="E55" s="279" t="s">
        <v>482</v>
      </c>
      <c r="F55" s="279" t="s">
        <v>474</v>
      </c>
      <c r="G55" s="279">
        <v>30540000</v>
      </c>
      <c r="H55" s="279">
        <v>3470</v>
      </c>
      <c r="I55" s="279">
        <v>0</v>
      </c>
      <c r="J55" s="279">
        <v>11</v>
      </c>
      <c r="K55" s="279" t="s">
        <v>508</v>
      </c>
      <c r="L55" s="279">
        <v>0</v>
      </c>
      <c r="M55" s="279" t="s">
        <v>95</v>
      </c>
      <c r="N55" s="279" t="s">
        <v>476</v>
      </c>
      <c r="O55" s="279" t="s">
        <v>564</v>
      </c>
      <c r="P55" s="279" t="s">
        <v>565</v>
      </c>
      <c r="Q55" s="279" t="s">
        <v>1029</v>
      </c>
      <c r="R55" s="279" t="s">
        <v>989</v>
      </c>
      <c r="S55" s="279">
        <v>85</v>
      </c>
      <c r="T55" s="279">
        <v>6.7</v>
      </c>
      <c r="U55" s="279" t="s">
        <v>530</v>
      </c>
      <c r="V55" s="279" t="s">
        <v>530</v>
      </c>
      <c r="W55" s="279" t="s">
        <v>511</v>
      </c>
      <c r="X55" s="279" t="s">
        <v>484</v>
      </c>
      <c r="Y55" s="279"/>
      <c r="Z55" s="279"/>
      <c r="AA55" s="279"/>
      <c r="AB55" s="279" t="s">
        <v>479</v>
      </c>
      <c r="AC55" s="279" t="s">
        <v>509</v>
      </c>
      <c r="AD55" s="279" t="s">
        <v>491</v>
      </c>
      <c r="AE55" s="279">
        <v>74060</v>
      </c>
      <c r="AF55" s="279" t="s">
        <v>511</v>
      </c>
      <c r="AG55" s="279"/>
      <c r="AH55" s="279"/>
      <c r="AI55" s="279">
        <v>20230509</v>
      </c>
      <c r="AJ55" s="462" t="s">
        <v>1219</v>
      </c>
      <c r="AK55" s="279"/>
      <c r="AL55" s="279" t="str">
        <f>IF(AB55="Y","단종모델",LEFT(N55,3)&amp;IFERROR(VLOOKUP(LEFT(N55,3)&amp;P55,#REF!,2,0),""))</f>
        <v>HDM</v>
      </c>
      <c r="AM55" s="469" t="str">
        <f t="shared" si="0"/>
        <v>스타리아 LPG 3.5 투어러 11인승</v>
      </c>
      <c r="AN55" s="279">
        <f t="shared" si="5"/>
        <v>30540000</v>
      </c>
      <c r="AO55" s="279">
        <f t="shared" si="6"/>
        <v>3470</v>
      </c>
      <c r="AP55" s="279" t="str">
        <f t="shared" si="7"/>
        <v>L</v>
      </c>
      <c r="AQ55" s="279">
        <f t="shared" si="8"/>
        <v>11</v>
      </c>
      <c r="AR55" s="279" t="str">
        <f t="shared" si="9"/>
        <v>승합</v>
      </c>
      <c r="AS55" s="279" t="str">
        <f t="shared" si="10"/>
        <v>승합</v>
      </c>
      <c r="AT55" s="279" t="str">
        <f t="shared" si="1"/>
        <v>8급</v>
      </c>
      <c r="AU55" s="279" t="str">
        <f t="shared" si="2"/>
        <v>02:울산</v>
      </c>
      <c r="AV55" s="279">
        <f t="shared" si="11"/>
        <v>0</v>
      </c>
      <c r="AW55" s="279" t="str">
        <f t="shared" si="3"/>
        <v>D</v>
      </c>
      <c r="AX55" s="279" t="str">
        <f t="shared" si="12"/>
        <v>일반</v>
      </c>
      <c r="AY55" s="468">
        <v>2.5000000000000001E-2</v>
      </c>
      <c r="AZ55" s="468"/>
      <c r="BA55" s="1168" t="s">
        <v>1646</v>
      </c>
      <c r="BB55" s="279" t="s">
        <v>1633</v>
      </c>
      <c r="BC55" s="279"/>
      <c r="BD55" s="279" t="s">
        <v>1474</v>
      </c>
      <c r="BE55" s="279" t="str">
        <f t="shared" si="4"/>
        <v>현대</v>
      </c>
      <c r="BF55" s="581">
        <v>4.1000000000000002E-2</v>
      </c>
      <c r="BG55" s="281">
        <v>88000</v>
      </c>
      <c r="BH55" s="281">
        <v>312000</v>
      </c>
      <c r="BI55" s="279"/>
      <c r="BJ55" s="279"/>
      <c r="BK55" s="279"/>
      <c r="BL55" s="279"/>
      <c r="BM55" s="279" t="s">
        <v>1547</v>
      </c>
      <c r="BN55" s="279"/>
      <c r="BO55" s="279"/>
      <c r="BP55" s="500">
        <f t="shared" si="13"/>
        <v>9.2999999999999999E-2</v>
      </c>
      <c r="BQ55" s="973">
        <f t="shared" si="14"/>
        <v>8.5999999999999993E-2</v>
      </c>
    </row>
    <row r="56" spans="1:69" s="460" customFormat="1" ht="15" customHeight="1">
      <c r="A56" s="281">
        <v>45</v>
      </c>
      <c r="B56" s="279">
        <v>401487505</v>
      </c>
      <c r="C56" s="279" t="s">
        <v>472</v>
      </c>
      <c r="D56" s="279" t="s">
        <v>528</v>
      </c>
      <c r="E56" s="279" t="s">
        <v>482</v>
      </c>
      <c r="F56" s="279" t="s">
        <v>474</v>
      </c>
      <c r="G56" s="279">
        <v>44970000</v>
      </c>
      <c r="H56" s="279">
        <v>1598</v>
      </c>
      <c r="I56" s="279">
        <v>0</v>
      </c>
      <c r="J56" s="279">
        <v>9</v>
      </c>
      <c r="K56" s="279" t="s">
        <v>1375</v>
      </c>
      <c r="L56" s="279">
        <v>0</v>
      </c>
      <c r="M56" s="279" t="s">
        <v>95</v>
      </c>
      <c r="N56" s="279" t="s">
        <v>476</v>
      </c>
      <c r="O56" s="279" t="s">
        <v>564</v>
      </c>
      <c r="P56" s="279" t="s">
        <v>565</v>
      </c>
      <c r="Q56" s="279" t="s">
        <v>1376</v>
      </c>
      <c r="R56" s="279" t="s">
        <v>1377</v>
      </c>
      <c r="S56" s="279">
        <v>65</v>
      </c>
      <c r="T56" s="279">
        <v>12.6</v>
      </c>
      <c r="U56" s="279" t="s">
        <v>517</v>
      </c>
      <c r="V56" s="279" t="s">
        <v>517</v>
      </c>
      <c r="W56" s="279" t="s">
        <v>554</v>
      </c>
      <c r="X56" s="279" t="s">
        <v>478</v>
      </c>
      <c r="Y56" s="279"/>
      <c r="Z56" s="279"/>
      <c r="AA56" s="279"/>
      <c r="AB56" s="279" t="s">
        <v>479</v>
      </c>
      <c r="AC56" s="279" t="s">
        <v>490</v>
      </c>
      <c r="AD56" s="279" t="s">
        <v>491</v>
      </c>
      <c r="AE56" s="279">
        <v>87505</v>
      </c>
      <c r="AF56" s="279" t="s">
        <v>507</v>
      </c>
      <c r="AG56" s="279"/>
      <c r="AH56" s="279"/>
      <c r="AI56" s="279">
        <v>20240329</v>
      </c>
      <c r="AJ56" s="462" t="s">
        <v>1219</v>
      </c>
      <c r="AK56" s="279"/>
      <c r="AL56" s="279" t="str">
        <f>IF(AB56="Y","단종모델",LEFT(N56,3)&amp;IFERROR(VLOOKUP(LEFT(N56,3)&amp;P56,#REF!,2,0),""))</f>
        <v>HDM</v>
      </c>
      <c r="AM56" s="469" t="str">
        <f t="shared" si="0"/>
        <v>스타리아 가솔린 터보 1.6 하이브리드 라운지 9인승 2WD</v>
      </c>
      <c r="AN56" s="279">
        <f t="shared" si="5"/>
        <v>44970000</v>
      </c>
      <c r="AO56" s="279">
        <f t="shared" ref="AO56:AO57" si="101">H56</f>
        <v>1598</v>
      </c>
      <c r="AP56" s="279" t="str">
        <f t="shared" ref="AP56:AP57" si="102">LEFT(K56,1)</f>
        <v>V</v>
      </c>
      <c r="AQ56" s="279">
        <f t="shared" ref="AQ56:AQ57" si="103">J56</f>
        <v>9</v>
      </c>
      <c r="AR56" s="279" t="str">
        <f t="shared" ref="AR56:AR57" si="104">RIGHT(D56,2)</f>
        <v>RV</v>
      </c>
      <c r="AS56" s="279" t="str">
        <f t="shared" ref="AS56:AS57" si="105">MID(W56,4,3)</f>
        <v>다인승</v>
      </c>
      <c r="AT56" s="279" t="str">
        <f t="shared" ref="AT56:AT57" si="106">RIGHT(AC56,2)</f>
        <v>7급</v>
      </c>
      <c r="AU56" s="279" t="str">
        <f t="shared" ref="AU56:AU57" si="107">AB56</f>
        <v>02:울산</v>
      </c>
      <c r="AV56" s="279">
        <f t="shared" si="11"/>
        <v>0</v>
      </c>
      <c r="AW56" s="279" t="str">
        <f t="shared" ref="AW56:AW57" si="108">LEFT(F56,1)</f>
        <v>D</v>
      </c>
      <c r="AX56" s="279" t="str">
        <f t="shared" ref="AX56:AX57" si="109">AJ56</f>
        <v>일반</v>
      </c>
      <c r="AY56" s="468">
        <v>2.5000000000000001E-2</v>
      </c>
      <c r="AZ56" s="468"/>
      <c r="BA56" s="1168" t="s">
        <v>1646</v>
      </c>
      <c r="BB56" s="279" t="s">
        <v>1554</v>
      </c>
      <c r="BC56" s="279"/>
      <c r="BD56" s="279" t="s">
        <v>1474</v>
      </c>
      <c r="BE56" s="279" t="str">
        <f t="shared" si="4"/>
        <v>현대</v>
      </c>
      <c r="BF56" s="581">
        <v>4.1000000000000002E-2</v>
      </c>
      <c r="BG56" s="281">
        <v>88000</v>
      </c>
      <c r="BH56" s="281">
        <v>312000</v>
      </c>
      <c r="BI56" s="279"/>
      <c r="BJ56" s="279"/>
      <c r="BK56" s="279"/>
      <c r="BL56" s="279"/>
      <c r="BM56" s="279" t="s">
        <v>1547</v>
      </c>
      <c r="BN56" s="279"/>
      <c r="BO56" s="279"/>
      <c r="BP56" s="500">
        <f t="shared" si="13"/>
        <v>9.2999999999999999E-2</v>
      </c>
      <c r="BQ56" s="973">
        <f t="shared" ref="BQ56:BQ57" si="110">BP56-0.007</f>
        <v>8.5999999999999993E-2</v>
      </c>
    </row>
    <row r="57" spans="1:69" s="460" customFormat="1" ht="15" customHeight="1">
      <c r="A57" s="281">
        <v>46</v>
      </c>
      <c r="B57" s="279">
        <v>401487507</v>
      </c>
      <c r="C57" s="279" t="s">
        <v>472</v>
      </c>
      <c r="D57" s="279" t="s">
        <v>528</v>
      </c>
      <c r="E57" s="279" t="s">
        <v>482</v>
      </c>
      <c r="F57" s="279" t="s">
        <v>474</v>
      </c>
      <c r="G57" s="279">
        <v>46140000</v>
      </c>
      <c r="H57" s="279">
        <v>1598</v>
      </c>
      <c r="I57" s="279">
        <v>0</v>
      </c>
      <c r="J57" s="279">
        <v>7</v>
      </c>
      <c r="K57" s="279" t="s">
        <v>1375</v>
      </c>
      <c r="L57" s="279">
        <v>0</v>
      </c>
      <c r="M57" s="279" t="s">
        <v>95</v>
      </c>
      <c r="N57" s="279" t="s">
        <v>476</v>
      </c>
      <c r="O57" s="279" t="s">
        <v>564</v>
      </c>
      <c r="P57" s="279" t="s">
        <v>565</v>
      </c>
      <c r="Q57" s="279" t="s">
        <v>1376</v>
      </c>
      <c r="R57" s="279" t="s">
        <v>1378</v>
      </c>
      <c r="S57" s="279">
        <v>65</v>
      </c>
      <c r="T57" s="279">
        <v>12.6</v>
      </c>
      <c r="U57" s="279" t="s">
        <v>517</v>
      </c>
      <c r="V57" s="279" t="s">
        <v>517</v>
      </c>
      <c r="W57" s="279" t="s">
        <v>507</v>
      </c>
      <c r="X57" s="279" t="s">
        <v>478</v>
      </c>
      <c r="Y57" s="279"/>
      <c r="Z57" s="279"/>
      <c r="AA57" s="279"/>
      <c r="AB57" s="279" t="s">
        <v>479</v>
      </c>
      <c r="AC57" s="279" t="s">
        <v>490</v>
      </c>
      <c r="AD57" s="279" t="s">
        <v>491</v>
      </c>
      <c r="AE57" s="279">
        <v>87507</v>
      </c>
      <c r="AF57" s="279" t="s">
        <v>507</v>
      </c>
      <c r="AG57" s="279"/>
      <c r="AH57" s="279"/>
      <c r="AI57" s="279">
        <v>20240329</v>
      </c>
      <c r="AJ57" s="462" t="s">
        <v>1219</v>
      </c>
      <c r="AK57" s="279"/>
      <c r="AL57" s="279" t="str">
        <f>IF(AB57="Y","단종모델",LEFT(N57,3)&amp;IFERROR(VLOOKUP(LEFT(N57,3)&amp;P57,#REF!,2,0),""))</f>
        <v>HDM</v>
      </c>
      <c r="AM57" s="469" t="str">
        <f t="shared" si="0"/>
        <v>스타리아 가솔린 터보 1.6 하이브리드 라운지 7인승 2WD</v>
      </c>
      <c r="AN57" s="279">
        <f t="shared" si="5"/>
        <v>46140000</v>
      </c>
      <c r="AO57" s="279">
        <f t="shared" si="101"/>
        <v>1598</v>
      </c>
      <c r="AP57" s="279" t="str">
        <f t="shared" si="102"/>
        <v>V</v>
      </c>
      <c r="AQ57" s="279">
        <f t="shared" si="103"/>
        <v>7</v>
      </c>
      <c r="AR57" s="279" t="str">
        <f t="shared" si="104"/>
        <v>RV</v>
      </c>
      <c r="AS57" s="279" t="str">
        <f t="shared" si="105"/>
        <v>다인승</v>
      </c>
      <c r="AT57" s="279" t="str">
        <f t="shared" si="106"/>
        <v>7급</v>
      </c>
      <c r="AU57" s="279" t="str">
        <f t="shared" si="107"/>
        <v>02:울산</v>
      </c>
      <c r="AV57" s="279">
        <f t="shared" si="11"/>
        <v>0</v>
      </c>
      <c r="AW57" s="279" t="str">
        <f t="shared" si="108"/>
        <v>D</v>
      </c>
      <c r="AX57" s="279" t="str">
        <f t="shared" si="109"/>
        <v>일반</v>
      </c>
      <c r="AY57" s="468">
        <v>2.5000000000000001E-2</v>
      </c>
      <c r="AZ57" s="468"/>
      <c r="BA57" s="1168" t="s">
        <v>1646</v>
      </c>
      <c r="BB57" s="279" t="s">
        <v>1554</v>
      </c>
      <c r="BC57" s="279"/>
      <c r="BD57" s="279" t="s">
        <v>1474</v>
      </c>
      <c r="BE57" s="279" t="str">
        <f t="shared" si="4"/>
        <v>현대</v>
      </c>
      <c r="BF57" s="581">
        <v>4.1000000000000002E-2</v>
      </c>
      <c r="BG57" s="281">
        <v>88000</v>
      </c>
      <c r="BH57" s="281">
        <v>312000</v>
      </c>
      <c r="BI57" s="279"/>
      <c r="BJ57" s="279"/>
      <c r="BK57" s="279"/>
      <c r="BL57" s="279"/>
      <c r="BM57" s="279" t="s">
        <v>1547</v>
      </c>
      <c r="BN57" s="279"/>
      <c r="BO57" s="279"/>
      <c r="BP57" s="500">
        <f t="shared" si="13"/>
        <v>9.2999999999999999E-2</v>
      </c>
      <c r="BQ57" s="973">
        <f t="shared" si="110"/>
        <v>8.5999999999999993E-2</v>
      </c>
    </row>
    <row r="58" spans="1:69" s="460" customFormat="1" ht="15" customHeight="1">
      <c r="A58" s="281">
        <v>47</v>
      </c>
      <c r="B58" s="279">
        <v>401474081</v>
      </c>
      <c r="C58" s="279" t="s">
        <v>472</v>
      </c>
      <c r="D58" s="279" t="s">
        <v>528</v>
      </c>
      <c r="E58" s="279" t="s">
        <v>482</v>
      </c>
      <c r="F58" s="279" t="s">
        <v>474</v>
      </c>
      <c r="G58" s="279">
        <v>36610000</v>
      </c>
      <c r="H58" s="279">
        <v>2199</v>
      </c>
      <c r="I58" s="279">
        <v>0</v>
      </c>
      <c r="J58" s="279">
        <v>9</v>
      </c>
      <c r="K58" s="279" t="s">
        <v>481</v>
      </c>
      <c r="L58" s="279">
        <v>0</v>
      </c>
      <c r="M58" s="279" t="s">
        <v>95</v>
      </c>
      <c r="N58" s="279" t="s">
        <v>476</v>
      </c>
      <c r="O58" s="279" t="s">
        <v>564</v>
      </c>
      <c r="P58" s="279" t="s">
        <v>565</v>
      </c>
      <c r="Q58" s="279" t="s">
        <v>1030</v>
      </c>
      <c r="R58" s="279" t="s">
        <v>986</v>
      </c>
      <c r="S58" s="279">
        <v>75</v>
      </c>
      <c r="T58" s="279">
        <v>10.8</v>
      </c>
      <c r="U58" s="279" t="s">
        <v>517</v>
      </c>
      <c r="V58" s="279" t="s">
        <v>517</v>
      </c>
      <c r="W58" s="279" t="s">
        <v>554</v>
      </c>
      <c r="X58" s="279" t="s">
        <v>484</v>
      </c>
      <c r="Y58" s="279"/>
      <c r="Z58" s="279"/>
      <c r="AA58" s="279"/>
      <c r="AB58" s="279" t="s">
        <v>479</v>
      </c>
      <c r="AC58" s="279" t="s">
        <v>490</v>
      </c>
      <c r="AD58" s="279" t="s">
        <v>491</v>
      </c>
      <c r="AE58" s="279">
        <v>74081</v>
      </c>
      <c r="AF58" s="279" t="s">
        <v>507</v>
      </c>
      <c r="AG58" s="279"/>
      <c r="AH58" s="279"/>
      <c r="AI58" s="279">
        <v>20230509</v>
      </c>
      <c r="AJ58" s="462" t="s">
        <v>1219</v>
      </c>
      <c r="AK58" s="279"/>
      <c r="AL58" s="279" t="str">
        <f>IF(AB58="Y","단종모델",LEFT(N58,3)&amp;IFERROR(VLOOKUP(LEFT(N58,3)&amp;P58,#REF!,2,0),""))</f>
        <v>HDM</v>
      </c>
      <c r="AM58" s="469" t="str">
        <f t="shared" si="0"/>
        <v>스타리아 디젤 2.2 라운지 9인승 2WD</v>
      </c>
      <c r="AN58" s="279">
        <f t="shared" si="5"/>
        <v>36610000</v>
      </c>
      <c r="AO58" s="279">
        <f t="shared" si="6"/>
        <v>2199</v>
      </c>
      <c r="AP58" s="279" t="str">
        <f t="shared" si="7"/>
        <v>D</v>
      </c>
      <c r="AQ58" s="279">
        <f t="shared" si="8"/>
        <v>9</v>
      </c>
      <c r="AR58" s="279" t="str">
        <f t="shared" si="9"/>
        <v>RV</v>
      </c>
      <c r="AS58" s="279" t="str">
        <f t="shared" si="10"/>
        <v>다인승</v>
      </c>
      <c r="AT58" s="279" t="str">
        <f t="shared" si="1"/>
        <v>7급</v>
      </c>
      <c r="AU58" s="279" t="str">
        <f t="shared" si="2"/>
        <v>02:울산</v>
      </c>
      <c r="AV58" s="279">
        <f t="shared" si="11"/>
        <v>0</v>
      </c>
      <c r="AW58" s="279" t="str">
        <f t="shared" si="3"/>
        <v>D</v>
      </c>
      <c r="AX58" s="279" t="str">
        <f t="shared" si="12"/>
        <v>일반</v>
      </c>
      <c r="AY58" s="468">
        <v>2.5000000000000001E-2</v>
      </c>
      <c r="AZ58" s="468"/>
      <c r="BA58" s="1168" t="s">
        <v>1646</v>
      </c>
      <c r="BB58" s="279" t="s">
        <v>1633</v>
      </c>
      <c r="BC58" s="279"/>
      <c r="BD58" s="279" t="s">
        <v>1474</v>
      </c>
      <c r="BE58" s="279" t="str">
        <f t="shared" si="4"/>
        <v>현대</v>
      </c>
      <c r="BF58" s="581">
        <v>4.1000000000000002E-2</v>
      </c>
      <c r="BG58" s="281">
        <v>88000</v>
      </c>
      <c r="BH58" s="281">
        <v>312000</v>
      </c>
      <c r="BI58" s="279"/>
      <c r="BJ58" s="279"/>
      <c r="BK58" s="279"/>
      <c r="BL58" s="279"/>
      <c r="BM58" s="279" t="s">
        <v>1547</v>
      </c>
      <c r="BN58" s="279"/>
      <c r="BO58" s="279"/>
      <c r="BP58" s="500">
        <f t="shared" si="13"/>
        <v>9.2999999999999999E-2</v>
      </c>
      <c r="BQ58" s="973">
        <f t="shared" si="14"/>
        <v>8.5999999999999993E-2</v>
      </c>
    </row>
    <row r="59" spans="1:69" s="460" customFormat="1" ht="15" customHeight="1">
      <c r="A59" s="281">
        <v>48</v>
      </c>
      <c r="B59" s="279">
        <v>401474082</v>
      </c>
      <c r="C59" s="279" t="s">
        <v>472</v>
      </c>
      <c r="D59" s="279" t="s">
        <v>528</v>
      </c>
      <c r="E59" s="279" t="s">
        <v>482</v>
      </c>
      <c r="F59" s="279" t="s">
        <v>474</v>
      </c>
      <c r="G59" s="279">
        <v>38560000</v>
      </c>
      <c r="H59" s="279">
        <v>2199</v>
      </c>
      <c r="I59" s="279">
        <v>0</v>
      </c>
      <c r="J59" s="279">
        <v>9</v>
      </c>
      <c r="K59" s="279" t="s">
        <v>481</v>
      </c>
      <c r="L59" s="279">
        <v>0</v>
      </c>
      <c r="M59" s="279" t="s">
        <v>95</v>
      </c>
      <c r="N59" s="279" t="s">
        <v>476</v>
      </c>
      <c r="O59" s="279" t="s">
        <v>564</v>
      </c>
      <c r="P59" s="279" t="s">
        <v>565</v>
      </c>
      <c r="Q59" s="279" t="s">
        <v>1030</v>
      </c>
      <c r="R59" s="279" t="s">
        <v>991</v>
      </c>
      <c r="S59" s="279">
        <v>75</v>
      </c>
      <c r="T59" s="279">
        <v>10.3</v>
      </c>
      <c r="U59" s="279" t="s">
        <v>517</v>
      </c>
      <c r="V59" s="279" t="s">
        <v>517</v>
      </c>
      <c r="W59" s="279" t="s">
        <v>554</v>
      </c>
      <c r="X59" s="279" t="s">
        <v>484</v>
      </c>
      <c r="Y59" s="279"/>
      <c r="Z59" s="279"/>
      <c r="AA59" s="279"/>
      <c r="AB59" s="279" t="s">
        <v>479</v>
      </c>
      <c r="AC59" s="279" t="s">
        <v>490</v>
      </c>
      <c r="AD59" s="279" t="s">
        <v>491</v>
      </c>
      <c r="AE59" s="279">
        <v>74082</v>
      </c>
      <c r="AF59" s="279" t="s">
        <v>507</v>
      </c>
      <c r="AG59" s="279"/>
      <c r="AH59" s="279"/>
      <c r="AI59" s="279">
        <v>20230509</v>
      </c>
      <c r="AJ59" s="462" t="s">
        <v>1219</v>
      </c>
      <c r="AK59" s="279"/>
      <c r="AL59" s="279" t="str">
        <f>IF(AB59="Y","단종모델",LEFT(N59,3)&amp;IFERROR(VLOOKUP(LEFT(N59,3)&amp;P59,#REF!,2,0),""))</f>
        <v>HDM</v>
      </c>
      <c r="AM59" s="469" t="str">
        <f t="shared" si="0"/>
        <v>스타리아 디젤 2.2 라운지 9인승 4WD</v>
      </c>
      <c r="AN59" s="279">
        <f t="shared" si="5"/>
        <v>38560000</v>
      </c>
      <c r="AO59" s="279">
        <f t="shared" si="6"/>
        <v>2199</v>
      </c>
      <c r="AP59" s="279" t="str">
        <f t="shared" si="7"/>
        <v>D</v>
      </c>
      <c r="AQ59" s="279">
        <f t="shared" si="8"/>
        <v>9</v>
      </c>
      <c r="AR59" s="279" t="str">
        <f t="shared" si="9"/>
        <v>RV</v>
      </c>
      <c r="AS59" s="279" t="str">
        <f t="shared" si="10"/>
        <v>다인승</v>
      </c>
      <c r="AT59" s="279" t="str">
        <f t="shared" ref="AT59:AT128" si="111">RIGHT(AC59,2)</f>
        <v>7급</v>
      </c>
      <c r="AU59" s="279" t="str">
        <f t="shared" ref="AU59:AU128" si="112">AB59</f>
        <v>02:울산</v>
      </c>
      <c r="AV59" s="279">
        <f t="shared" si="11"/>
        <v>0</v>
      </c>
      <c r="AW59" s="279" t="str">
        <f t="shared" ref="AW59:AW128" si="113">LEFT(F59,1)</f>
        <v>D</v>
      </c>
      <c r="AX59" s="279" t="str">
        <f t="shared" si="12"/>
        <v>일반</v>
      </c>
      <c r="AY59" s="468">
        <v>2.5000000000000001E-2</v>
      </c>
      <c r="AZ59" s="468"/>
      <c r="BA59" s="1168" t="s">
        <v>1646</v>
      </c>
      <c r="BB59" s="279" t="s">
        <v>1633</v>
      </c>
      <c r="BC59" s="279"/>
      <c r="BD59" s="279" t="s">
        <v>1474</v>
      </c>
      <c r="BE59" s="279" t="str">
        <f t="shared" si="4"/>
        <v>현대</v>
      </c>
      <c r="BF59" s="581">
        <v>4.1000000000000002E-2</v>
      </c>
      <c r="BG59" s="281">
        <v>88000</v>
      </c>
      <c r="BH59" s="281">
        <v>312000</v>
      </c>
      <c r="BI59" s="279"/>
      <c r="BJ59" s="279"/>
      <c r="BK59" s="279"/>
      <c r="BL59" s="279"/>
      <c r="BM59" s="279" t="s">
        <v>1547</v>
      </c>
      <c r="BN59" s="279"/>
      <c r="BO59" s="279"/>
      <c r="BP59" s="500">
        <f t="shared" si="13"/>
        <v>9.2999999999999999E-2</v>
      </c>
      <c r="BQ59" s="973">
        <f t="shared" si="14"/>
        <v>8.5999999999999993E-2</v>
      </c>
    </row>
    <row r="60" spans="1:69" s="460" customFormat="1" ht="15" customHeight="1">
      <c r="A60" s="281">
        <v>49</v>
      </c>
      <c r="B60" s="279">
        <v>401474085</v>
      </c>
      <c r="C60" s="279" t="s">
        <v>472</v>
      </c>
      <c r="D60" s="279" t="s">
        <v>528</v>
      </c>
      <c r="E60" s="279" t="s">
        <v>482</v>
      </c>
      <c r="F60" s="279" t="s">
        <v>474</v>
      </c>
      <c r="G60" s="279">
        <v>42120000</v>
      </c>
      <c r="H60" s="279">
        <v>2199</v>
      </c>
      <c r="I60" s="279">
        <v>0</v>
      </c>
      <c r="J60" s="279">
        <v>7</v>
      </c>
      <c r="K60" s="279" t="s">
        <v>481</v>
      </c>
      <c r="L60" s="279">
        <v>0</v>
      </c>
      <c r="M60" s="279" t="s">
        <v>95</v>
      </c>
      <c r="N60" s="279" t="s">
        <v>476</v>
      </c>
      <c r="O60" s="279" t="s">
        <v>564</v>
      </c>
      <c r="P60" s="279" t="s">
        <v>565</v>
      </c>
      <c r="Q60" s="279" t="s">
        <v>1030</v>
      </c>
      <c r="R60" s="279" t="s">
        <v>992</v>
      </c>
      <c r="S60" s="279">
        <v>75</v>
      </c>
      <c r="T60" s="279">
        <v>10.8</v>
      </c>
      <c r="U60" s="279" t="s">
        <v>517</v>
      </c>
      <c r="V60" s="279" t="s">
        <v>517</v>
      </c>
      <c r="W60" s="279" t="s">
        <v>507</v>
      </c>
      <c r="X60" s="279" t="s">
        <v>484</v>
      </c>
      <c r="Y60" s="279"/>
      <c r="Z60" s="279"/>
      <c r="AA60" s="279"/>
      <c r="AB60" s="279" t="s">
        <v>479</v>
      </c>
      <c r="AC60" s="279" t="s">
        <v>490</v>
      </c>
      <c r="AD60" s="279" t="s">
        <v>491</v>
      </c>
      <c r="AE60" s="279">
        <v>74085</v>
      </c>
      <c r="AF60" s="279" t="s">
        <v>507</v>
      </c>
      <c r="AG60" s="279"/>
      <c r="AH60" s="279"/>
      <c r="AI60" s="279">
        <v>20230509</v>
      </c>
      <c r="AJ60" s="462" t="s">
        <v>1219</v>
      </c>
      <c r="AK60" s="279"/>
      <c r="AL60" s="279" t="str">
        <f>IF(AB60="Y","단종모델",LEFT(N60,3)&amp;IFERROR(VLOOKUP(LEFT(N60,3)&amp;P60,#REF!,2,0),""))</f>
        <v>HDM</v>
      </c>
      <c r="AM60" s="469" t="str">
        <f t="shared" si="0"/>
        <v>스타리아 디젤 2.2 라운지 7인승 2WD</v>
      </c>
      <c r="AN60" s="279">
        <f t="shared" si="5"/>
        <v>42120000</v>
      </c>
      <c r="AO60" s="279">
        <f t="shared" si="6"/>
        <v>2199</v>
      </c>
      <c r="AP60" s="279" t="str">
        <f t="shared" si="7"/>
        <v>D</v>
      </c>
      <c r="AQ60" s="279">
        <f t="shared" si="8"/>
        <v>7</v>
      </c>
      <c r="AR60" s="279" t="str">
        <f t="shared" si="9"/>
        <v>RV</v>
      </c>
      <c r="AS60" s="279" t="str">
        <f t="shared" si="10"/>
        <v>다인승</v>
      </c>
      <c r="AT60" s="279" t="str">
        <f t="shared" si="111"/>
        <v>7급</v>
      </c>
      <c r="AU60" s="279" t="str">
        <f t="shared" si="112"/>
        <v>02:울산</v>
      </c>
      <c r="AV60" s="279">
        <f t="shared" si="11"/>
        <v>0</v>
      </c>
      <c r="AW60" s="279" t="str">
        <f t="shared" si="113"/>
        <v>D</v>
      </c>
      <c r="AX60" s="279" t="str">
        <f t="shared" ref="AX60:AX129" si="114">AJ60</f>
        <v>일반</v>
      </c>
      <c r="AY60" s="468">
        <v>2.5000000000000001E-2</v>
      </c>
      <c r="AZ60" s="468"/>
      <c r="BA60" s="1168" t="s">
        <v>1646</v>
      </c>
      <c r="BB60" s="279" t="s">
        <v>1633</v>
      </c>
      <c r="BC60" s="279"/>
      <c r="BD60" s="279" t="s">
        <v>1474</v>
      </c>
      <c r="BE60" s="279" t="str">
        <f t="shared" si="4"/>
        <v>현대</v>
      </c>
      <c r="BF60" s="581">
        <v>4.1000000000000002E-2</v>
      </c>
      <c r="BG60" s="281">
        <v>88000</v>
      </c>
      <c r="BH60" s="281">
        <v>312000</v>
      </c>
      <c r="BI60" s="279"/>
      <c r="BJ60" s="279"/>
      <c r="BK60" s="279"/>
      <c r="BL60" s="279"/>
      <c r="BM60" s="279" t="s">
        <v>1547</v>
      </c>
      <c r="BN60" s="279"/>
      <c r="BO60" s="279"/>
      <c r="BP60" s="500">
        <f t="shared" si="13"/>
        <v>9.2999999999999999E-2</v>
      </c>
      <c r="BQ60" s="973">
        <f t="shared" si="14"/>
        <v>8.5999999999999993E-2</v>
      </c>
    </row>
    <row r="61" spans="1:69" s="460" customFormat="1" ht="15" customHeight="1">
      <c r="A61" s="281">
        <v>50</v>
      </c>
      <c r="B61" s="279">
        <v>401474086</v>
      </c>
      <c r="C61" s="279" t="s">
        <v>472</v>
      </c>
      <c r="D61" s="279" t="s">
        <v>528</v>
      </c>
      <c r="E61" s="279" t="s">
        <v>482</v>
      </c>
      <c r="F61" s="279" t="s">
        <v>474</v>
      </c>
      <c r="G61" s="279">
        <v>44120000</v>
      </c>
      <c r="H61" s="279">
        <v>2199</v>
      </c>
      <c r="I61" s="279">
        <v>0</v>
      </c>
      <c r="J61" s="279">
        <v>7</v>
      </c>
      <c r="K61" s="279" t="s">
        <v>481</v>
      </c>
      <c r="L61" s="279">
        <v>0</v>
      </c>
      <c r="M61" s="279" t="s">
        <v>95</v>
      </c>
      <c r="N61" s="279" t="s">
        <v>476</v>
      </c>
      <c r="O61" s="279" t="s">
        <v>564</v>
      </c>
      <c r="P61" s="279" t="s">
        <v>565</v>
      </c>
      <c r="Q61" s="279" t="s">
        <v>1030</v>
      </c>
      <c r="R61" s="279" t="s">
        <v>993</v>
      </c>
      <c r="S61" s="279">
        <v>75</v>
      </c>
      <c r="T61" s="279">
        <v>10.3</v>
      </c>
      <c r="U61" s="279" t="s">
        <v>517</v>
      </c>
      <c r="V61" s="279" t="s">
        <v>517</v>
      </c>
      <c r="W61" s="279" t="s">
        <v>507</v>
      </c>
      <c r="X61" s="279" t="s">
        <v>484</v>
      </c>
      <c r="Y61" s="279"/>
      <c r="Z61" s="279"/>
      <c r="AA61" s="279"/>
      <c r="AB61" s="279" t="s">
        <v>479</v>
      </c>
      <c r="AC61" s="279" t="s">
        <v>490</v>
      </c>
      <c r="AD61" s="279" t="s">
        <v>491</v>
      </c>
      <c r="AE61" s="279">
        <v>74086</v>
      </c>
      <c r="AF61" s="279" t="s">
        <v>507</v>
      </c>
      <c r="AG61" s="279"/>
      <c r="AH61" s="279"/>
      <c r="AI61" s="279">
        <v>20230509</v>
      </c>
      <c r="AJ61" s="462" t="s">
        <v>1219</v>
      </c>
      <c r="AK61" s="279"/>
      <c r="AL61" s="279" t="str">
        <f>IF(AB61="Y","단종모델",LEFT(N61,3)&amp;IFERROR(VLOOKUP(LEFT(N61,3)&amp;P61,#REF!,2,0),""))</f>
        <v>HDM</v>
      </c>
      <c r="AM61" s="469" t="str">
        <f t="shared" si="0"/>
        <v>스타리아 디젤 2.2 라운지 7인승 4WD</v>
      </c>
      <c r="AN61" s="279">
        <f t="shared" si="5"/>
        <v>44120000</v>
      </c>
      <c r="AO61" s="279">
        <f t="shared" si="6"/>
        <v>2199</v>
      </c>
      <c r="AP61" s="279" t="str">
        <f t="shared" si="7"/>
        <v>D</v>
      </c>
      <c r="AQ61" s="279">
        <f t="shared" si="8"/>
        <v>7</v>
      </c>
      <c r="AR61" s="279" t="str">
        <f t="shared" si="9"/>
        <v>RV</v>
      </c>
      <c r="AS61" s="279" t="str">
        <f t="shared" si="10"/>
        <v>다인승</v>
      </c>
      <c r="AT61" s="279" t="str">
        <f t="shared" si="111"/>
        <v>7급</v>
      </c>
      <c r="AU61" s="279" t="str">
        <f t="shared" si="112"/>
        <v>02:울산</v>
      </c>
      <c r="AV61" s="279">
        <f t="shared" si="11"/>
        <v>0</v>
      </c>
      <c r="AW61" s="279" t="str">
        <f t="shared" si="113"/>
        <v>D</v>
      </c>
      <c r="AX61" s="279" t="str">
        <f t="shared" si="114"/>
        <v>일반</v>
      </c>
      <c r="AY61" s="468">
        <v>2.5000000000000001E-2</v>
      </c>
      <c r="AZ61" s="468"/>
      <c r="BA61" s="1168" t="s">
        <v>1646</v>
      </c>
      <c r="BB61" s="279" t="s">
        <v>1633</v>
      </c>
      <c r="BC61" s="279"/>
      <c r="BD61" s="279" t="s">
        <v>1474</v>
      </c>
      <c r="BE61" s="279" t="str">
        <f t="shared" si="4"/>
        <v>현대</v>
      </c>
      <c r="BF61" s="581">
        <v>4.1000000000000002E-2</v>
      </c>
      <c r="BG61" s="281">
        <v>88000</v>
      </c>
      <c r="BH61" s="281">
        <v>312000</v>
      </c>
      <c r="BI61" s="279"/>
      <c r="BJ61" s="279"/>
      <c r="BK61" s="279"/>
      <c r="BL61" s="279"/>
      <c r="BM61" s="279" t="s">
        <v>1547</v>
      </c>
      <c r="BN61" s="279"/>
      <c r="BO61" s="279"/>
      <c r="BP61" s="500">
        <f t="shared" si="13"/>
        <v>9.2999999999999999E-2</v>
      </c>
      <c r="BQ61" s="973">
        <f t="shared" si="14"/>
        <v>8.5999999999999993E-2</v>
      </c>
    </row>
    <row r="62" spans="1:69" s="460" customFormat="1" ht="15" customHeight="1">
      <c r="A62" s="281">
        <v>51</v>
      </c>
      <c r="B62" s="279">
        <v>401483413</v>
      </c>
      <c r="C62" s="279" t="s">
        <v>472</v>
      </c>
      <c r="D62" s="279" t="s">
        <v>528</v>
      </c>
      <c r="E62" s="279" t="s">
        <v>482</v>
      </c>
      <c r="F62" s="279" t="s">
        <v>474</v>
      </c>
      <c r="G62" s="279">
        <v>60810000</v>
      </c>
      <c r="H62" s="279">
        <v>2199</v>
      </c>
      <c r="I62" s="279">
        <v>0</v>
      </c>
      <c r="J62" s="279">
        <v>7</v>
      </c>
      <c r="K62" s="279" t="s">
        <v>481</v>
      </c>
      <c r="L62" s="279">
        <v>0</v>
      </c>
      <c r="M62" s="279" t="s">
        <v>95</v>
      </c>
      <c r="N62" s="279" t="s">
        <v>476</v>
      </c>
      <c r="O62" s="279" t="s">
        <v>564</v>
      </c>
      <c r="P62" s="279" t="s">
        <v>565</v>
      </c>
      <c r="Q62" s="279" t="s">
        <v>1273</v>
      </c>
      <c r="R62" s="279" t="s">
        <v>1275</v>
      </c>
      <c r="S62" s="279">
        <v>75</v>
      </c>
      <c r="T62" s="279">
        <v>10</v>
      </c>
      <c r="U62" s="279" t="s">
        <v>517</v>
      </c>
      <c r="V62" s="279" t="s">
        <v>517</v>
      </c>
      <c r="W62" s="279" t="s">
        <v>507</v>
      </c>
      <c r="X62" s="279" t="s">
        <v>484</v>
      </c>
      <c r="Y62" s="279"/>
      <c r="Z62" s="279"/>
      <c r="AA62" s="279"/>
      <c r="AB62" s="279" t="s">
        <v>479</v>
      </c>
      <c r="AC62" s="279" t="s">
        <v>490</v>
      </c>
      <c r="AD62" s="279" t="s">
        <v>491</v>
      </c>
      <c r="AE62" s="279">
        <v>83409</v>
      </c>
      <c r="AF62" s="279" t="s">
        <v>507</v>
      </c>
      <c r="AG62" s="279"/>
      <c r="AH62" s="279"/>
      <c r="AI62" s="279">
        <v>20240206</v>
      </c>
      <c r="AJ62" s="462" t="s">
        <v>1219</v>
      </c>
      <c r="AK62" s="279"/>
      <c r="AL62" s="279" t="str">
        <f>IF(AB62="Y","단종모델",LEFT(N62,3)&amp;IFERROR(VLOOKUP(LEFT(N62,3)&amp;P62,#REF!,2,0),""))</f>
        <v>HDM</v>
      </c>
      <c r="AM62" s="469" t="str">
        <f>O62&amp;" "&amp;Q62&amp;" "&amp;R62</f>
        <v>스타리아 디젤 2.2 라운지 7인승 리무진</v>
      </c>
      <c r="AN62" s="279">
        <f t="shared" ref="AN62:AN63" si="115">G62</f>
        <v>60810000</v>
      </c>
      <c r="AO62" s="279">
        <f t="shared" ref="AO62:AO63" si="116">H62</f>
        <v>2199</v>
      </c>
      <c r="AP62" s="279" t="str">
        <f t="shared" ref="AP62:AP63" si="117">LEFT(K62,1)</f>
        <v>D</v>
      </c>
      <c r="AQ62" s="279">
        <f t="shared" ref="AQ62:AQ63" si="118">J62</f>
        <v>7</v>
      </c>
      <c r="AR62" s="279" t="str">
        <f t="shared" ref="AR62:AR63" si="119">RIGHT(D62,2)</f>
        <v>RV</v>
      </c>
      <c r="AS62" s="279" t="str">
        <f t="shared" ref="AS62:AS63" si="120">MID(W62,4,3)</f>
        <v>다인승</v>
      </c>
      <c r="AT62" s="279" t="str">
        <f t="shared" ref="AT62:AT63" si="121">RIGHT(AC62,2)</f>
        <v>7급</v>
      </c>
      <c r="AU62" s="279" t="str">
        <f t="shared" ref="AU62:AU63" si="122">AB62</f>
        <v>02:울산</v>
      </c>
      <c r="AV62" s="279">
        <f t="shared" si="11"/>
        <v>0</v>
      </c>
      <c r="AW62" s="279" t="str">
        <f t="shared" ref="AW62:AW63" si="123">LEFT(F62,1)</f>
        <v>D</v>
      </c>
      <c r="AX62" s="279" t="str">
        <f t="shared" ref="AX62:AX63" si="124">AJ62</f>
        <v>일반</v>
      </c>
      <c r="AY62" s="468">
        <v>2.5000000000000001E-2</v>
      </c>
      <c r="AZ62" s="468"/>
      <c r="BA62" s="1168" t="s">
        <v>1689</v>
      </c>
      <c r="BB62" s="279" t="s">
        <v>828</v>
      </c>
      <c r="BC62" s="279"/>
      <c r="BD62" s="279" t="s">
        <v>1474</v>
      </c>
      <c r="BE62" s="279" t="str">
        <f t="shared" si="4"/>
        <v>현대</v>
      </c>
      <c r="BF62" s="581">
        <v>4.1000000000000002E-2</v>
      </c>
      <c r="BG62" s="281">
        <v>88000</v>
      </c>
      <c r="BH62" s="281">
        <v>312000</v>
      </c>
      <c r="BI62" s="279"/>
      <c r="BJ62" s="279"/>
      <c r="BK62" s="279"/>
      <c r="BL62" s="279"/>
      <c r="BM62" s="279" t="s">
        <v>1547</v>
      </c>
      <c r="BN62" s="279"/>
      <c r="BO62" s="279"/>
      <c r="BP62" s="500">
        <f t="shared" si="13"/>
        <v>9.2999999999999999E-2</v>
      </c>
      <c r="BQ62" s="973">
        <f t="shared" si="14"/>
        <v>8.5999999999999993E-2</v>
      </c>
    </row>
    <row r="63" spans="1:69" s="460" customFormat="1" ht="15" customHeight="1">
      <c r="A63" s="281">
        <v>52</v>
      </c>
      <c r="B63" s="279">
        <v>401483409</v>
      </c>
      <c r="C63" s="279" t="s">
        <v>472</v>
      </c>
      <c r="D63" s="279" t="s">
        <v>528</v>
      </c>
      <c r="E63" s="279" t="s">
        <v>482</v>
      </c>
      <c r="F63" s="279" t="s">
        <v>474</v>
      </c>
      <c r="G63" s="279">
        <v>58670000</v>
      </c>
      <c r="H63" s="279">
        <v>2199</v>
      </c>
      <c r="I63" s="279">
        <v>0</v>
      </c>
      <c r="J63" s="279">
        <v>9</v>
      </c>
      <c r="K63" s="279" t="s">
        <v>481</v>
      </c>
      <c r="L63" s="279">
        <v>0</v>
      </c>
      <c r="M63" s="279" t="s">
        <v>95</v>
      </c>
      <c r="N63" s="279" t="s">
        <v>476</v>
      </c>
      <c r="O63" s="279" t="s">
        <v>564</v>
      </c>
      <c r="P63" s="279" t="s">
        <v>565</v>
      </c>
      <c r="Q63" s="279" t="s">
        <v>1273</v>
      </c>
      <c r="R63" s="279" t="s">
        <v>1274</v>
      </c>
      <c r="S63" s="279">
        <v>75</v>
      </c>
      <c r="T63" s="279">
        <v>10</v>
      </c>
      <c r="U63" s="279" t="s">
        <v>517</v>
      </c>
      <c r="V63" s="279" t="s">
        <v>517</v>
      </c>
      <c r="W63" s="279" t="s">
        <v>554</v>
      </c>
      <c r="X63" s="279" t="s">
        <v>484</v>
      </c>
      <c r="Y63" s="279"/>
      <c r="Z63" s="279"/>
      <c r="AA63" s="279"/>
      <c r="AB63" s="279" t="s">
        <v>479</v>
      </c>
      <c r="AC63" s="279" t="s">
        <v>490</v>
      </c>
      <c r="AD63" s="279" t="s">
        <v>491</v>
      </c>
      <c r="AE63" s="279">
        <v>83413</v>
      </c>
      <c r="AF63" s="279" t="s">
        <v>507</v>
      </c>
      <c r="AG63" s="279"/>
      <c r="AH63" s="279"/>
      <c r="AI63" s="279">
        <v>20240206</v>
      </c>
      <c r="AJ63" s="462" t="s">
        <v>1219</v>
      </c>
      <c r="AK63" s="279"/>
      <c r="AL63" s="279" t="str">
        <f>IF(AB63="Y","단종모델",LEFT(N63,3)&amp;IFERROR(VLOOKUP(LEFT(N63,3)&amp;P63,#REF!,2,0),""))</f>
        <v>HDM</v>
      </c>
      <c r="AM63" s="469" t="str">
        <f>O63&amp;" "&amp;Q63&amp;" "&amp;R63</f>
        <v>스타리아 디젤 2.2 라운지 9인승 리무진</v>
      </c>
      <c r="AN63" s="279">
        <f t="shared" si="115"/>
        <v>58670000</v>
      </c>
      <c r="AO63" s="279">
        <f t="shared" si="116"/>
        <v>2199</v>
      </c>
      <c r="AP63" s="279" t="str">
        <f t="shared" si="117"/>
        <v>D</v>
      </c>
      <c r="AQ63" s="279">
        <f t="shared" si="118"/>
        <v>9</v>
      </c>
      <c r="AR63" s="279" t="str">
        <f t="shared" si="119"/>
        <v>RV</v>
      </c>
      <c r="AS63" s="279" t="str">
        <f t="shared" si="120"/>
        <v>다인승</v>
      </c>
      <c r="AT63" s="279" t="str">
        <f t="shared" si="121"/>
        <v>7급</v>
      </c>
      <c r="AU63" s="279" t="str">
        <f t="shared" si="122"/>
        <v>02:울산</v>
      </c>
      <c r="AV63" s="279">
        <f t="shared" si="11"/>
        <v>0</v>
      </c>
      <c r="AW63" s="279" t="str">
        <f t="shared" si="123"/>
        <v>D</v>
      </c>
      <c r="AX63" s="279" t="str">
        <f t="shared" si="124"/>
        <v>일반</v>
      </c>
      <c r="AY63" s="468">
        <v>2.5000000000000001E-2</v>
      </c>
      <c r="AZ63" s="468"/>
      <c r="BA63" s="1168" t="s">
        <v>1689</v>
      </c>
      <c r="BB63" s="279" t="s">
        <v>828</v>
      </c>
      <c r="BC63" s="279"/>
      <c r="BD63" s="279" t="s">
        <v>1474</v>
      </c>
      <c r="BE63" s="279" t="str">
        <f t="shared" si="4"/>
        <v>현대</v>
      </c>
      <c r="BF63" s="581">
        <v>4.1000000000000002E-2</v>
      </c>
      <c r="BG63" s="281">
        <v>88000</v>
      </c>
      <c r="BH63" s="281">
        <v>312000</v>
      </c>
      <c r="BI63" s="279"/>
      <c r="BJ63" s="279"/>
      <c r="BK63" s="279"/>
      <c r="BL63" s="279"/>
      <c r="BM63" s="279" t="s">
        <v>1547</v>
      </c>
      <c r="BN63" s="279"/>
      <c r="BO63" s="279"/>
      <c r="BP63" s="500">
        <f t="shared" si="13"/>
        <v>9.2999999999999999E-2</v>
      </c>
      <c r="BQ63" s="973">
        <f t="shared" si="14"/>
        <v>8.5999999999999993E-2</v>
      </c>
    </row>
    <row r="64" spans="1:69" s="460" customFormat="1" ht="15" customHeight="1">
      <c r="A64" s="281">
        <v>53</v>
      </c>
      <c r="B64" s="279">
        <v>401474087</v>
      </c>
      <c r="C64" s="279" t="s">
        <v>472</v>
      </c>
      <c r="D64" s="279" t="s">
        <v>528</v>
      </c>
      <c r="E64" s="279" t="s">
        <v>482</v>
      </c>
      <c r="F64" s="279" t="s">
        <v>474</v>
      </c>
      <c r="G64" s="279">
        <v>36310000</v>
      </c>
      <c r="H64" s="279">
        <v>3470</v>
      </c>
      <c r="I64" s="279">
        <v>0</v>
      </c>
      <c r="J64" s="279">
        <v>9</v>
      </c>
      <c r="K64" s="279" t="s">
        <v>508</v>
      </c>
      <c r="L64" s="279">
        <v>0</v>
      </c>
      <c r="M64" s="279" t="s">
        <v>95</v>
      </c>
      <c r="N64" s="279" t="s">
        <v>476</v>
      </c>
      <c r="O64" s="279" t="s">
        <v>564</v>
      </c>
      <c r="P64" s="279" t="s">
        <v>565</v>
      </c>
      <c r="Q64" s="279" t="s">
        <v>1031</v>
      </c>
      <c r="R64" s="279" t="s">
        <v>988</v>
      </c>
      <c r="S64" s="279">
        <v>85</v>
      </c>
      <c r="T64" s="279">
        <v>6.5</v>
      </c>
      <c r="U64" s="279" t="s">
        <v>517</v>
      </c>
      <c r="V64" s="279" t="s">
        <v>517</v>
      </c>
      <c r="W64" s="279" t="s">
        <v>554</v>
      </c>
      <c r="X64" s="279" t="s">
        <v>484</v>
      </c>
      <c r="Y64" s="279"/>
      <c r="Z64" s="279"/>
      <c r="AA64" s="279"/>
      <c r="AB64" s="279" t="s">
        <v>479</v>
      </c>
      <c r="AC64" s="279" t="s">
        <v>490</v>
      </c>
      <c r="AD64" s="279" t="s">
        <v>491</v>
      </c>
      <c r="AE64" s="279">
        <v>74087</v>
      </c>
      <c r="AF64" s="279" t="s">
        <v>507</v>
      </c>
      <c r="AG64" s="279"/>
      <c r="AH64" s="279"/>
      <c r="AI64" s="279">
        <v>20230509</v>
      </c>
      <c r="AJ64" s="462" t="s">
        <v>1219</v>
      </c>
      <c r="AK64" s="279"/>
      <c r="AL64" s="279" t="str">
        <f>IF(AB64="Y","단종모델",LEFT(N64,3)&amp;IFERROR(VLOOKUP(LEFT(N64,3)&amp;P64,#REF!,2,0),""))</f>
        <v>HDM</v>
      </c>
      <c r="AM64" s="469" t="str">
        <f t="shared" si="0"/>
        <v>스타리아 LPG 3.5 라운지 9인승</v>
      </c>
      <c r="AN64" s="279">
        <f t="shared" si="5"/>
        <v>36310000</v>
      </c>
      <c r="AO64" s="279">
        <f t="shared" si="6"/>
        <v>3470</v>
      </c>
      <c r="AP64" s="279" t="str">
        <f t="shared" si="7"/>
        <v>L</v>
      </c>
      <c r="AQ64" s="279">
        <f t="shared" si="8"/>
        <v>9</v>
      </c>
      <c r="AR64" s="279" t="str">
        <f t="shared" si="9"/>
        <v>RV</v>
      </c>
      <c r="AS64" s="279" t="str">
        <f t="shared" si="10"/>
        <v>다인승</v>
      </c>
      <c r="AT64" s="279" t="str">
        <f t="shared" si="111"/>
        <v>7급</v>
      </c>
      <c r="AU64" s="279" t="str">
        <f t="shared" si="112"/>
        <v>02:울산</v>
      </c>
      <c r="AV64" s="279">
        <f t="shared" si="11"/>
        <v>0</v>
      </c>
      <c r="AW64" s="279" t="str">
        <f t="shared" si="113"/>
        <v>D</v>
      </c>
      <c r="AX64" s="279" t="str">
        <f t="shared" si="114"/>
        <v>일반</v>
      </c>
      <c r="AY64" s="468">
        <v>2.5000000000000001E-2</v>
      </c>
      <c r="AZ64" s="468"/>
      <c r="BA64" s="1168" t="s">
        <v>1646</v>
      </c>
      <c r="BB64" s="279" t="s">
        <v>1633</v>
      </c>
      <c r="BC64" s="279"/>
      <c r="BD64" s="279" t="s">
        <v>1474</v>
      </c>
      <c r="BE64" s="279" t="str">
        <f t="shared" si="4"/>
        <v>현대</v>
      </c>
      <c r="BF64" s="581">
        <v>4.1000000000000002E-2</v>
      </c>
      <c r="BG64" s="281">
        <v>88000</v>
      </c>
      <c r="BH64" s="281">
        <v>312000</v>
      </c>
      <c r="BI64" s="279"/>
      <c r="BJ64" s="279"/>
      <c r="BK64" s="279"/>
      <c r="BL64" s="279"/>
      <c r="BM64" s="279" t="s">
        <v>1547</v>
      </c>
      <c r="BN64" s="279"/>
      <c r="BO64" s="279"/>
      <c r="BP64" s="500">
        <f t="shared" si="13"/>
        <v>9.2999999999999999E-2</v>
      </c>
      <c r="BQ64" s="973">
        <f t="shared" si="14"/>
        <v>8.5999999999999993E-2</v>
      </c>
    </row>
    <row r="65" spans="1:69" s="460" customFormat="1" ht="15" customHeight="1">
      <c r="A65" s="281">
        <v>54</v>
      </c>
      <c r="B65" s="279">
        <v>401474089</v>
      </c>
      <c r="C65" s="279" t="s">
        <v>472</v>
      </c>
      <c r="D65" s="279" t="s">
        <v>528</v>
      </c>
      <c r="E65" s="279" t="s">
        <v>482</v>
      </c>
      <c r="F65" s="279" t="s">
        <v>474</v>
      </c>
      <c r="G65" s="279">
        <v>41820000</v>
      </c>
      <c r="H65" s="279">
        <v>3470</v>
      </c>
      <c r="I65" s="279">
        <v>0</v>
      </c>
      <c r="J65" s="279">
        <v>7</v>
      </c>
      <c r="K65" s="279" t="s">
        <v>508</v>
      </c>
      <c r="L65" s="279">
        <v>0</v>
      </c>
      <c r="M65" s="279" t="s">
        <v>95</v>
      </c>
      <c r="N65" s="279" t="s">
        <v>476</v>
      </c>
      <c r="O65" s="279" t="s">
        <v>564</v>
      </c>
      <c r="P65" s="279" t="s">
        <v>565</v>
      </c>
      <c r="Q65" s="279" t="s">
        <v>1031</v>
      </c>
      <c r="R65" s="279" t="s">
        <v>994</v>
      </c>
      <c r="S65" s="279">
        <v>85</v>
      </c>
      <c r="T65" s="279">
        <v>6.7</v>
      </c>
      <c r="U65" s="279" t="s">
        <v>517</v>
      </c>
      <c r="V65" s="279" t="s">
        <v>517</v>
      </c>
      <c r="W65" s="279" t="s">
        <v>507</v>
      </c>
      <c r="X65" s="279" t="s">
        <v>484</v>
      </c>
      <c r="Y65" s="279"/>
      <c r="Z65" s="279"/>
      <c r="AA65" s="279"/>
      <c r="AB65" s="279" t="s">
        <v>479</v>
      </c>
      <c r="AC65" s="279" t="s">
        <v>490</v>
      </c>
      <c r="AD65" s="279" t="s">
        <v>491</v>
      </c>
      <c r="AE65" s="279">
        <v>87384</v>
      </c>
      <c r="AF65" s="279" t="s">
        <v>473</v>
      </c>
      <c r="AG65" s="279"/>
      <c r="AH65" s="279"/>
      <c r="AI65" s="279">
        <v>20240510</v>
      </c>
      <c r="AJ65" s="462" t="s">
        <v>1219</v>
      </c>
      <c r="AK65" s="279"/>
      <c r="AL65" s="279" t="str">
        <f>IF(AB65="Y","단종모델",LEFT(N65,3)&amp;IFERROR(VLOOKUP(LEFT(N65,3)&amp;P65,#REF!,2,0),""))</f>
        <v>HDM</v>
      </c>
      <c r="AM65" s="469" t="str">
        <f t="shared" si="0"/>
        <v>스타리아 LPG 3.5 라운지 7인승</v>
      </c>
      <c r="AN65" s="279">
        <f t="shared" si="5"/>
        <v>41820000</v>
      </c>
      <c r="AO65" s="279">
        <f t="shared" si="6"/>
        <v>3470</v>
      </c>
      <c r="AP65" s="279" t="str">
        <f t="shared" si="7"/>
        <v>L</v>
      </c>
      <c r="AQ65" s="279">
        <f t="shared" si="8"/>
        <v>7</v>
      </c>
      <c r="AR65" s="279" t="str">
        <f t="shared" si="9"/>
        <v>RV</v>
      </c>
      <c r="AS65" s="279" t="str">
        <f t="shared" si="10"/>
        <v>다인승</v>
      </c>
      <c r="AT65" s="279" t="str">
        <f t="shared" si="111"/>
        <v>7급</v>
      </c>
      <c r="AU65" s="279" t="str">
        <f t="shared" si="112"/>
        <v>02:울산</v>
      </c>
      <c r="AV65" s="279">
        <f t="shared" si="11"/>
        <v>0</v>
      </c>
      <c r="AW65" s="279" t="str">
        <f t="shared" si="113"/>
        <v>D</v>
      </c>
      <c r="AX65" s="279" t="str">
        <f t="shared" si="114"/>
        <v>일반</v>
      </c>
      <c r="AY65" s="468">
        <v>2.5000000000000001E-2</v>
      </c>
      <c r="AZ65" s="468"/>
      <c r="BA65" s="1168" t="s">
        <v>1646</v>
      </c>
      <c r="BB65" s="279" t="s">
        <v>1633</v>
      </c>
      <c r="BC65" s="279"/>
      <c r="BD65" s="279" t="s">
        <v>1474</v>
      </c>
      <c r="BE65" s="279" t="str">
        <f t="shared" si="4"/>
        <v>현대</v>
      </c>
      <c r="BF65" s="581">
        <v>4.1000000000000002E-2</v>
      </c>
      <c r="BG65" s="281">
        <v>88000</v>
      </c>
      <c r="BH65" s="281">
        <v>312000</v>
      </c>
      <c r="BI65" s="279"/>
      <c r="BJ65" s="279"/>
      <c r="BK65" s="279"/>
      <c r="BL65" s="279"/>
      <c r="BM65" s="279" t="s">
        <v>1547</v>
      </c>
      <c r="BN65" s="279"/>
      <c r="BO65" s="279"/>
      <c r="BP65" s="500">
        <f t="shared" si="13"/>
        <v>9.2999999999999999E-2</v>
      </c>
      <c r="BQ65" s="973">
        <f t="shared" si="14"/>
        <v>8.5999999999999993E-2</v>
      </c>
    </row>
    <row r="66" spans="1:69" s="460" customFormat="1" ht="15" customHeight="1">
      <c r="A66" s="281">
        <v>55</v>
      </c>
      <c r="B66" s="279">
        <v>365461749</v>
      </c>
      <c r="C66" s="279" t="s">
        <v>472</v>
      </c>
      <c r="D66" s="279" t="s">
        <v>528</v>
      </c>
      <c r="E66" s="279" t="s">
        <v>482</v>
      </c>
      <c r="F66" s="279" t="s">
        <v>474</v>
      </c>
      <c r="G66" s="279">
        <v>16200000</v>
      </c>
      <c r="H66" s="279">
        <v>1598</v>
      </c>
      <c r="I66" s="279">
        <v>0</v>
      </c>
      <c r="J66" s="279">
        <v>5</v>
      </c>
      <c r="K66" s="279" t="s">
        <v>475</v>
      </c>
      <c r="L66" s="279">
        <v>0</v>
      </c>
      <c r="M66" s="279" t="s">
        <v>95</v>
      </c>
      <c r="N66" s="279" t="s">
        <v>476</v>
      </c>
      <c r="O66" s="279" t="s">
        <v>113</v>
      </c>
      <c r="P66" s="279" t="s">
        <v>538</v>
      </c>
      <c r="Q66" s="279" t="s">
        <v>1032</v>
      </c>
      <c r="R66" s="279"/>
      <c r="S66" s="279">
        <v>45</v>
      </c>
      <c r="T66" s="279">
        <v>13.7</v>
      </c>
      <c r="U66" s="279" t="s">
        <v>539</v>
      </c>
      <c r="V66" s="279" t="s">
        <v>539</v>
      </c>
      <c r="W66" s="279" t="s">
        <v>473</v>
      </c>
      <c r="X66" s="279" t="s">
        <v>478</v>
      </c>
      <c r="Y66" s="282" t="s">
        <v>485</v>
      </c>
      <c r="Z66" s="282" t="s">
        <v>496</v>
      </c>
      <c r="AA66" s="282"/>
      <c r="AB66" s="279" t="s">
        <v>479</v>
      </c>
      <c r="AC66" s="279" t="s">
        <v>490</v>
      </c>
      <c r="AD66" s="279" t="s">
        <v>491</v>
      </c>
      <c r="AE66" s="279">
        <v>61749</v>
      </c>
      <c r="AF66" s="279" t="s">
        <v>473</v>
      </c>
      <c r="AG66" s="282"/>
      <c r="AH66" s="463"/>
      <c r="AI66" s="279">
        <v>20230509</v>
      </c>
      <c r="AJ66" s="462" t="s">
        <v>1219</v>
      </c>
      <c r="AK66" s="279"/>
      <c r="AL66" s="279" t="str">
        <f>IF(AB66="Y","단종모델",LEFT(N66,3)&amp;IFERROR(VLOOKUP(LEFT(N66,3)&amp;P66,#REF!,2,0),""))</f>
        <v>HDM</v>
      </c>
      <c r="AM66" s="469" t="str">
        <f t="shared" si="0"/>
        <v xml:space="preserve">베뉴 가솔린 1.6 </v>
      </c>
      <c r="AN66" s="279">
        <f t="shared" si="5"/>
        <v>16200000</v>
      </c>
      <c r="AO66" s="279">
        <f t="shared" si="6"/>
        <v>1598</v>
      </c>
      <c r="AP66" s="279" t="str">
        <f t="shared" si="7"/>
        <v>M</v>
      </c>
      <c r="AQ66" s="279">
        <f t="shared" si="8"/>
        <v>5</v>
      </c>
      <c r="AR66" s="279" t="str">
        <f t="shared" si="9"/>
        <v>RV</v>
      </c>
      <c r="AS66" s="279" t="str">
        <f t="shared" si="10"/>
        <v>승용</v>
      </c>
      <c r="AT66" s="279" t="str">
        <f t="shared" si="111"/>
        <v>7급</v>
      </c>
      <c r="AU66" s="279" t="str">
        <f t="shared" si="112"/>
        <v>02:울산</v>
      </c>
      <c r="AV66" s="279">
        <f t="shared" si="11"/>
        <v>0</v>
      </c>
      <c r="AW66" s="279" t="str">
        <f t="shared" si="113"/>
        <v>D</v>
      </c>
      <c r="AX66" s="279" t="str">
        <f t="shared" si="114"/>
        <v>일반</v>
      </c>
      <c r="AY66" s="468">
        <v>2.5000000000000001E-2</v>
      </c>
      <c r="AZ66" s="468"/>
      <c r="BA66" s="279" t="s">
        <v>822</v>
      </c>
      <c r="BB66" s="279" t="s">
        <v>1634</v>
      </c>
      <c r="BC66" s="279"/>
      <c r="BD66" s="279" t="s">
        <v>1474</v>
      </c>
      <c r="BE66" s="279" t="str">
        <f t="shared" si="4"/>
        <v>현대</v>
      </c>
      <c r="BF66" s="581">
        <v>4.1000000000000002E-2</v>
      </c>
      <c r="BG66" s="281">
        <v>75000</v>
      </c>
      <c r="BH66" s="281">
        <v>299000</v>
      </c>
      <c r="BI66" s="279"/>
      <c r="BJ66" s="279"/>
      <c r="BK66" s="279"/>
      <c r="BL66" s="279"/>
      <c r="BM66" s="279" t="s">
        <v>1547</v>
      </c>
      <c r="BN66" s="279"/>
      <c r="BO66" s="279"/>
      <c r="BP66" s="500">
        <f t="shared" si="13"/>
        <v>9.2999999999999999E-2</v>
      </c>
      <c r="BQ66" s="973">
        <f t="shared" si="14"/>
        <v>8.5999999999999993E-2</v>
      </c>
    </row>
    <row r="67" spans="1:69" s="460" customFormat="1" ht="15" customHeight="1">
      <c r="A67" s="281">
        <v>56</v>
      </c>
      <c r="B67" s="279">
        <v>436187384</v>
      </c>
      <c r="C67" s="279" t="s">
        <v>472</v>
      </c>
      <c r="D67" s="279" t="s">
        <v>528</v>
      </c>
      <c r="E67" s="279" t="s">
        <v>482</v>
      </c>
      <c r="F67" s="279" t="s">
        <v>474</v>
      </c>
      <c r="G67" s="279">
        <v>25160000</v>
      </c>
      <c r="H67" s="279">
        <v>1598</v>
      </c>
      <c r="I67" s="279">
        <v>0</v>
      </c>
      <c r="J67" s="279">
        <v>5</v>
      </c>
      <c r="K67" s="279" t="s">
        <v>475</v>
      </c>
      <c r="L67" s="279">
        <v>0</v>
      </c>
      <c r="M67" s="279" t="s">
        <v>95</v>
      </c>
      <c r="N67" s="279" t="s">
        <v>476</v>
      </c>
      <c r="O67" s="279" t="s">
        <v>1426</v>
      </c>
      <c r="P67" s="279" t="s">
        <v>1427</v>
      </c>
      <c r="Q67" s="279" t="s">
        <v>1422</v>
      </c>
      <c r="R67" s="279"/>
      <c r="S67" s="279">
        <v>47</v>
      </c>
      <c r="T67" s="279">
        <v>13</v>
      </c>
      <c r="U67" s="279" t="s">
        <v>553</v>
      </c>
      <c r="V67" s="279" t="s">
        <v>553</v>
      </c>
      <c r="W67" s="279" t="s">
        <v>473</v>
      </c>
      <c r="X67" s="279" t="s">
        <v>478</v>
      </c>
      <c r="Y67" s="279"/>
      <c r="Z67" s="279"/>
      <c r="AA67" s="279"/>
      <c r="AB67" s="279" t="s">
        <v>479</v>
      </c>
      <c r="AC67" s="279" t="s">
        <v>490</v>
      </c>
      <c r="AD67" s="279" t="s">
        <v>491</v>
      </c>
      <c r="AE67" s="279">
        <v>87384</v>
      </c>
      <c r="AF67" s="279" t="s">
        <v>473</v>
      </c>
      <c r="AG67" s="279"/>
      <c r="AH67" s="279"/>
      <c r="AI67" s="279">
        <v>20240510</v>
      </c>
      <c r="AJ67" s="462" t="s">
        <v>1151</v>
      </c>
      <c r="AK67" s="279"/>
      <c r="AL67" s="279" t="str">
        <f>IF(AB67="Y","단종모델",LEFT(N67,3)&amp;IFERROR(VLOOKUP(LEFT(N67,3)&amp;P67,#REF!,2,0),""))</f>
        <v>HDM</v>
      </c>
      <c r="AM67" s="469" t="str">
        <f t="shared" si="0"/>
        <v xml:space="preserve">코나 가솔린 터보 1.6 </v>
      </c>
      <c r="AN67" s="279">
        <f t="shared" si="5"/>
        <v>25160000</v>
      </c>
      <c r="AO67" s="279">
        <f t="shared" si="6"/>
        <v>1598</v>
      </c>
      <c r="AP67" s="279" t="str">
        <f t="shared" si="7"/>
        <v>M</v>
      </c>
      <c r="AQ67" s="279">
        <f t="shared" si="8"/>
        <v>5</v>
      </c>
      <c r="AR67" s="279" t="str">
        <f t="shared" si="9"/>
        <v>RV</v>
      </c>
      <c r="AS67" s="279" t="str">
        <f t="shared" si="10"/>
        <v>승용</v>
      </c>
      <c r="AT67" s="279" t="str">
        <f t="shared" si="111"/>
        <v>7급</v>
      </c>
      <c r="AU67" s="279" t="str">
        <f t="shared" si="112"/>
        <v>02:울산</v>
      </c>
      <c r="AV67" s="279">
        <f t="shared" si="11"/>
        <v>0</v>
      </c>
      <c r="AW67" s="279" t="str">
        <f t="shared" si="113"/>
        <v>D</v>
      </c>
      <c r="AX67" s="279" t="str">
        <f t="shared" si="114"/>
        <v>전략</v>
      </c>
      <c r="AY67" s="468">
        <v>0.02</v>
      </c>
      <c r="AZ67" s="468"/>
      <c r="BA67" s="279" t="s">
        <v>1703</v>
      </c>
      <c r="BB67" s="279" t="s">
        <v>1629</v>
      </c>
      <c r="BC67" s="279"/>
      <c r="BD67" s="279" t="s">
        <v>1474</v>
      </c>
      <c r="BE67" s="279" t="str">
        <f t="shared" si="4"/>
        <v>현대</v>
      </c>
      <c r="BF67" s="581">
        <v>4.1000000000000002E-2</v>
      </c>
      <c r="BG67" s="281">
        <v>77000</v>
      </c>
      <c r="BH67" s="281">
        <v>301000</v>
      </c>
      <c r="BI67" s="279"/>
      <c r="BJ67" s="279"/>
      <c r="BK67" s="279"/>
      <c r="BL67" s="279"/>
      <c r="BM67" s="279" t="s">
        <v>1547</v>
      </c>
      <c r="BN67" s="279"/>
      <c r="BO67" s="279"/>
      <c r="BP67" s="500">
        <f t="shared" si="13"/>
        <v>6.8000000000000005E-2</v>
      </c>
      <c r="BQ67" s="973">
        <f t="shared" si="14"/>
        <v>6.1000000000000006E-2</v>
      </c>
    </row>
    <row r="68" spans="1:69" s="460" customFormat="1" ht="15" customHeight="1">
      <c r="A68" s="281">
        <v>57</v>
      </c>
      <c r="B68" s="279">
        <v>436187378</v>
      </c>
      <c r="C68" s="279" t="s">
        <v>472</v>
      </c>
      <c r="D68" s="279" t="s">
        <v>528</v>
      </c>
      <c r="E68" s="279" t="s">
        <v>482</v>
      </c>
      <c r="F68" s="279" t="s">
        <v>474</v>
      </c>
      <c r="G68" s="279">
        <v>31020000</v>
      </c>
      <c r="H68" s="279">
        <v>1580</v>
      </c>
      <c r="I68" s="279">
        <v>0</v>
      </c>
      <c r="J68" s="279">
        <v>5</v>
      </c>
      <c r="K68" s="279" t="s">
        <v>495</v>
      </c>
      <c r="L68" s="279">
        <v>0</v>
      </c>
      <c r="M68" s="279" t="s">
        <v>95</v>
      </c>
      <c r="N68" s="279" t="s">
        <v>476</v>
      </c>
      <c r="O68" s="279" t="s">
        <v>1426</v>
      </c>
      <c r="P68" s="279" t="s">
        <v>1427</v>
      </c>
      <c r="Q68" s="279" t="s">
        <v>1424</v>
      </c>
      <c r="R68" s="279"/>
      <c r="S68" s="279">
        <v>38</v>
      </c>
      <c r="T68" s="279">
        <v>19.8</v>
      </c>
      <c r="U68" s="279" t="s">
        <v>553</v>
      </c>
      <c r="V68" s="279" t="s">
        <v>553</v>
      </c>
      <c r="W68" s="279" t="s">
        <v>473</v>
      </c>
      <c r="X68" s="279" t="s">
        <v>478</v>
      </c>
      <c r="Y68" s="279"/>
      <c r="Z68" s="279"/>
      <c r="AA68" s="279"/>
      <c r="AB68" s="279" t="s">
        <v>479</v>
      </c>
      <c r="AC68" s="279" t="s">
        <v>490</v>
      </c>
      <c r="AD68" s="279" t="s">
        <v>491</v>
      </c>
      <c r="AE68" s="279">
        <v>87378</v>
      </c>
      <c r="AF68" s="279" t="s">
        <v>473</v>
      </c>
      <c r="AG68" s="279"/>
      <c r="AH68" s="279"/>
      <c r="AI68" s="279">
        <v>20240510</v>
      </c>
      <c r="AJ68" s="462" t="s">
        <v>1151</v>
      </c>
      <c r="AK68" s="279"/>
      <c r="AL68" s="279" t="str">
        <f>IF(AB68="Y","단종모델",LEFT(N68,3)&amp;IFERROR(VLOOKUP(LEFT(N68,3)&amp;P68,#REF!,2,0),""))</f>
        <v>HDM</v>
      </c>
      <c r="AM68" s="469" t="str">
        <f t="shared" si="0"/>
        <v xml:space="preserve">코나 가솔린 1.6 하이브리드 </v>
      </c>
      <c r="AN68" s="279">
        <f t="shared" si="5"/>
        <v>31020000</v>
      </c>
      <c r="AO68" s="279">
        <f t="shared" si="6"/>
        <v>1580</v>
      </c>
      <c r="AP68" s="279" t="str">
        <f t="shared" si="7"/>
        <v>T</v>
      </c>
      <c r="AQ68" s="279">
        <f t="shared" si="8"/>
        <v>5</v>
      </c>
      <c r="AR68" s="279" t="str">
        <f t="shared" si="9"/>
        <v>RV</v>
      </c>
      <c r="AS68" s="279" t="str">
        <f t="shared" si="10"/>
        <v>승용</v>
      </c>
      <c r="AT68" s="279" t="str">
        <f t="shared" si="111"/>
        <v>7급</v>
      </c>
      <c r="AU68" s="279" t="str">
        <f t="shared" si="112"/>
        <v>02:울산</v>
      </c>
      <c r="AV68" s="279">
        <f t="shared" si="11"/>
        <v>0</v>
      </c>
      <c r="AW68" s="279" t="str">
        <f t="shared" si="113"/>
        <v>D</v>
      </c>
      <c r="AX68" s="279" t="str">
        <f t="shared" si="114"/>
        <v>전략</v>
      </c>
      <c r="AY68" s="468">
        <v>0.02</v>
      </c>
      <c r="AZ68" s="468"/>
      <c r="BA68" s="279" t="s">
        <v>1703</v>
      </c>
      <c r="BB68" s="279" t="s">
        <v>1629</v>
      </c>
      <c r="BC68" s="279"/>
      <c r="BD68" s="279" t="s">
        <v>1474</v>
      </c>
      <c r="BE68" s="279" t="str">
        <f t="shared" si="4"/>
        <v>현대</v>
      </c>
      <c r="BF68" s="581">
        <v>4.1000000000000002E-2</v>
      </c>
      <c r="BG68" s="281">
        <v>77000</v>
      </c>
      <c r="BH68" s="281">
        <v>301000</v>
      </c>
      <c r="BI68" s="279"/>
      <c r="BJ68" s="279"/>
      <c r="BK68" s="279"/>
      <c r="BL68" s="279"/>
      <c r="BM68" s="279" t="s">
        <v>1547</v>
      </c>
      <c r="BN68" s="279"/>
      <c r="BO68" s="279"/>
      <c r="BP68" s="500">
        <f t="shared" si="13"/>
        <v>6.8000000000000005E-2</v>
      </c>
      <c r="BQ68" s="973">
        <f t="shared" si="14"/>
        <v>6.1000000000000006E-2</v>
      </c>
    </row>
    <row r="69" spans="1:69" s="460" customFormat="1" ht="15" customHeight="1">
      <c r="A69" s="281">
        <v>58</v>
      </c>
      <c r="B69" s="279">
        <v>436187394</v>
      </c>
      <c r="C69" s="279" t="s">
        <v>472</v>
      </c>
      <c r="D69" s="279" t="s">
        <v>528</v>
      </c>
      <c r="E69" s="279" t="s">
        <v>482</v>
      </c>
      <c r="F69" s="279" t="s">
        <v>474</v>
      </c>
      <c r="G69" s="279">
        <v>24460000</v>
      </c>
      <c r="H69" s="279">
        <v>1999</v>
      </c>
      <c r="I69" s="279">
        <v>0</v>
      </c>
      <c r="J69" s="279">
        <v>5</v>
      </c>
      <c r="K69" s="279" t="s">
        <v>475</v>
      </c>
      <c r="L69" s="279">
        <v>0</v>
      </c>
      <c r="M69" s="279" t="s">
        <v>95</v>
      </c>
      <c r="N69" s="279" t="s">
        <v>476</v>
      </c>
      <c r="O69" s="279" t="s">
        <v>1426</v>
      </c>
      <c r="P69" s="279" t="s">
        <v>1427</v>
      </c>
      <c r="Q69" s="279" t="s">
        <v>1425</v>
      </c>
      <c r="R69" s="279"/>
      <c r="S69" s="279">
        <v>47</v>
      </c>
      <c r="T69" s="279">
        <v>13.6</v>
      </c>
      <c r="U69" s="279" t="s">
        <v>553</v>
      </c>
      <c r="V69" s="279" t="s">
        <v>553</v>
      </c>
      <c r="W69" s="279" t="s">
        <v>473</v>
      </c>
      <c r="X69" s="279" t="s">
        <v>498</v>
      </c>
      <c r="Y69" s="279"/>
      <c r="Z69" s="279"/>
      <c r="AA69" s="279"/>
      <c r="AB69" s="279" t="s">
        <v>479</v>
      </c>
      <c r="AC69" s="279" t="s">
        <v>490</v>
      </c>
      <c r="AD69" s="279" t="s">
        <v>491</v>
      </c>
      <c r="AE69" s="279">
        <v>87394</v>
      </c>
      <c r="AF69" s="279" t="s">
        <v>473</v>
      </c>
      <c r="AG69" s="279"/>
      <c r="AH69" s="279"/>
      <c r="AI69" s="279">
        <v>20240510</v>
      </c>
      <c r="AJ69" s="462" t="s">
        <v>1151</v>
      </c>
      <c r="AK69" s="279"/>
      <c r="AL69" s="279" t="str">
        <f>IF(AB69="Y","단종모델",LEFT(N69,3)&amp;IFERROR(VLOOKUP(LEFT(N69,3)&amp;P69,#REF!,2,0),""))</f>
        <v>HDM</v>
      </c>
      <c r="AM69" s="469" t="str">
        <f t="shared" si="0"/>
        <v xml:space="preserve">코나 가솔린 2.0 </v>
      </c>
      <c r="AN69" s="279">
        <f t="shared" si="5"/>
        <v>24460000</v>
      </c>
      <c r="AO69" s="279">
        <f t="shared" si="6"/>
        <v>1999</v>
      </c>
      <c r="AP69" s="279" t="str">
        <f t="shared" si="7"/>
        <v>M</v>
      </c>
      <c r="AQ69" s="279">
        <f t="shared" si="8"/>
        <v>5</v>
      </c>
      <c r="AR69" s="279" t="str">
        <f t="shared" si="9"/>
        <v>RV</v>
      </c>
      <c r="AS69" s="279" t="str">
        <f t="shared" si="10"/>
        <v>승용</v>
      </c>
      <c r="AT69" s="279" t="str">
        <f t="shared" si="111"/>
        <v>7급</v>
      </c>
      <c r="AU69" s="279" t="str">
        <f t="shared" si="112"/>
        <v>02:울산</v>
      </c>
      <c r="AV69" s="279">
        <f t="shared" si="11"/>
        <v>0</v>
      </c>
      <c r="AW69" s="279" t="str">
        <f t="shared" si="113"/>
        <v>D</v>
      </c>
      <c r="AX69" s="279" t="str">
        <f t="shared" si="114"/>
        <v>전략</v>
      </c>
      <c r="AY69" s="468">
        <v>0.02</v>
      </c>
      <c r="AZ69" s="468"/>
      <c r="BA69" s="279" t="s">
        <v>822</v>
      </c>
      <c r="BB69" s="279" t="s">
        <v>1629</v>
      </c>
      <c r="BC69" s="279"/>
      <c r="BD69" s="279" t="s">
        <v>1474</v>
      </c>
      <c r="BE69" s="279" t="str">
        <f t="shared" si="4"/>
        <v>현대</v>
      </c>
      <c r="BF69" s="581">
        <v>4.1000000000000002E-2</v>
      </c>
      <c r="BG69" s="281">
        <v>77000</v>
      </c>
      <c r="BH69" s="281">
        <v>301000</v>
      </c>
      <c r="BI69" s="279"/>
      <c r="BJ69" s="279"/>
      <c r="BK69" s="279"/>
      <c r="BL69" s="279"/>
      <c r="BM69" s="279" t="s">
        <v>1547</v>
      </c>
      <c r="BN69" s="279"/>
      <c r="BO69" s="279"/>
      <c r="BP69" s="500">
        <f t="shared" si="13"/>
        <v>6.8000000000000005E-2</v>
      </c>
      <c r="BQ69" s="973">
        <f t="shared" si="14"/>
        <v>6.1000000000000006E-2</v>
      </c>
    </row>
    <row r="70" spans="1:69" s="460" customFormat="1" ht="15" customHeight="1">
      <c r="A70" s="281">
        <v>59</v>
      </c>
      <c r="B70" s="279">
        <v>408682605</v>
      </c>
      <c r="C70" s="279" t="s">
        <v>472</v>
      </c>
      <c r="D70" s="279" t="s">
        <v>473</v>
      </c>
      <c r="E70" s="279" t="s">
        <v>482</v>
      </c>
      <c r="F70" s="279" t="s">
        <v>474</v>
      </c>
      <c r="G70" s="279">
        <v>19600000</v>
      </c>
      <c r="H70" s="279">
        <v>998</v>
      </c>
      <c r="I70" s="279">
        <v>0</v>
      </c>
      <c r="J70" s="279">
        <v>4</v>
      </c>
      <c r="K70" s="279" t="s">
        <v>475</v>
      </c>
      <c r="L70" s="279">
        <v>0</v>
      </c>
      <c r="M70" s="279" t="s">
        <v>95</v>
      </c>
      <c r="N70" s="279" t="s">
        <v>476</v>
      </c>
      <c r="O70" s="279" t="s">
        <v>567</v>
      </c>
      <c r="P70" s="279" t="s">
        <v>577</v>
      </c>
      <c r="Q70" s="279" t="s">
        <v>1033</v>
      </c>
      <c r="R70" s="279"/>
      <c r="S70" s="279">
        <v>35</v>
      </c>
      <c r="T70" s="279">
        <v>12.3</v>
      </c>
      <c r="U70" s="279" t="s">
        <v>979</v>
      </c>
      <c r="V70" s="279" t="s">
        <v>979</v>
      </c>
      <c r="W70" s="279" t="s">
        <v>473</v>
      </c>
      <c r="X70" s="279" t="s">
        <v>519</v>
      </c>
      <c r="Y70" s="279"/>
      <c r="Z70" s="279"/>
      <c r="AA70" s="279"/>
      <c r="AB70" s="279" t="s">
        <v>21</v>
      </c>
      <c r="AC70" s="279" t="s">
        <v>520</v>
      </c>
      <c r="AD70" s="279" t="s">
        <v>491</v>
      </c>
      <c r="AE70" s="279">
        <v>82605</v>
      </c>
      <c r="AF70" s="279" t="s">
        <v>473</v>
      </c>
      <c r="AG70" s="279"/>
      <c r="AH70" s="279"/>
      <c r="AI70" s="279">
        <v>20230509</v>
      </c>
      <c r="AJ70" s="462" t="s">
        <v>1219</v>
      </c>
      <c r="AK70" s="279"/>
      <c r="AL70" s="279" t="str">
        <f>IF(AB70="Y","단종모델",LEFT(N70,3)&amp;IFERROR(VLOOKUP(LEFT(N70,3)&amp;P70,#REF!,2,0),""))</f>
        <v>HDM</v>
      </c>
      <c r="AM70" s="469" t="str">
        <f t="shared" si="0"/>
        <v xml:space="preserve">캐스퍼 가솔린 1.0 (아산출고) </v>
      </c>
      <c r="AN70" s="279">
        <f t="shared" si="5"/>
        <v>19600000</v>
      </c>
      <c r="AO70" s="279">
        <f t="shared" si="6"/>
        <v>998</v>
      </c>
      <c r="AP70" s="279" t="str">
        <f t="shared" si="7"/>
        <v>M</v>
      </c>
      <c r="AQ70" s="279">
        <f t="shared" si="8"/>
        <v>4</v>
      </c>
      <c r="AR70" s="279" t="str">
        <f t="shared" si="9"/>
        <v>승용</v>
      </c>
      <c r="AS70" s="279" t="str">
        <f t="shared" si="10"/>
        <v>승용</v>
      </c>
      <c r="AT70" s="279" t="str">
        <f t="shared" si="111"/>
        <v>1급</v>
      </c>
      <c r="AU70" s="279" t="str">
        <f t="shared" si="112"/>
        <v>07:광주</v>
      </c>
      <c r="AV70" s="279">
        <f t="shared" si="11"/>
        <v>0</v>
      </c>
      <c r="AW70" s="279" t="str">
        <f t="shared" si="113"/>
        <v>D</v>
      </c>
      <c r="AX70" s="279" t="str">
        <f t="shared" si="114"/>
        <v>일반</v>
      </c>
      <c r="AY70" s="468">
        <v>2.5000000000000001E-2</v>
      </c>
      <c r="AZ70" s="468"/>
      <c r="BA70" s="279" t="s">
        <v>1690</v>
      </c>
      <c r="BB70" s="279" t="s">
        <v>1635</v>
      </c>
      <c r="BC70" s="279"/>
      <c r="BD70" s="279" t="s">
        <v>1474</v>
      </c>
      <c r="BE70" s="279" t="str">
        <f t="shared" si="4"/>
        <v>현대</v>
      </c>
      <c r="BF70" s="581">
        <v>4.1000000000000002E-2</v>
      </c>
      <c r="BG70" s="281">
        <v>116000</v>
      </c>
      <c r="BH70" s="281">
        <v>116000</v>
      </c>
      <c r="BI70" s="279"/>
      <c r="BJ70" s="279"/>
      <c r="BK70" s="279"/>
      <c r="BL70" s="279"/>
      <c r="BM70" s="279" t="s">
        <v>1547</v>
      </c>
      <c r="BN70" s="279"/>
      <c r="BO70" s="279"/>
      <c r="BP70" s="500">
        <f t="shared" si="13"/>
        <v>9.2999999999999999E-2</v>
      </c>
      <c r="BQ70" s="973">
        <f t="shared" si="14"/>
        <v>8.5999999999999993E-2</v>
      </c>
    </row>
    <row r="71" spans="1:69" s="460" customFormat="1" ht="15" customHeight="1">
      <c r="A71" s="281">
        <v>60</v>
      </c>
      <c r="B71" s="279">
        <v>408682606</v>
      </c>
      <c r="C71" s="279" t="s">
        <v>472</v>
      </c>
      <c r="D71" s="279" t="s">
        <v>473</v>
      </c>
      <c r="E71" s="279" t="s">
        <v>482</v>
      </c>
      <c r="F71" s="279" t="s">
        <v>474</v>
      </c>
      <c r="G71" s="279">
        <v>13750000</v>
      </c>
      <c r="H71" s="279">
        <v>998</v>
      </c>
      <c r="I71" s="279">
        <v>0</v>
      </c>
      <c r="J71" s="279">
        <v>2</v>
      </c>
      <c r="K71" s="279" t="s">
        <v>475</v>
      </c>
      <c r="L71" s="279">
        <v>0</v>
      </c>
      <c r="M71" s="279" t="s">
        <v>95</v>
      </c>
      <c r="N71" s="279" t="s">
        <v>476</v>
      </c>
      <c r="O71" s="279" t="s">
        <v>567</v>
      </c>
      <c r="P71" s="279" t="s">
        <v>577</v>
      </c>
      <c r="Q71" s="279" t="s">
        <v>1372</v>
      </c>
      <c r="R71" s="279"/>
      <c r="S71" s="279">
        <v>35</v>
      </c>
      <c r="T71" s="279">
        <v>14.3</v>
      </c>
      <c r="U71" s="279" t="s">
        <v>539</v>
      </c>
      <c r="V71" s="279" t="s">
        <v>539</v>
      </c>
      <c r="W71" s="279" t="s">
        <v>473</v>
      </c>
      <c r="X71" s="279" t="s">
        <v>519</v>
      </c>
      <c r="Y71" s="279"/>
      <c r="Z71" s="279"/>
      <c r="AA71" s="279"/>
      <c r="AB71" s="279" t="s">
        <v>21</v>
      </c>
      <c r="AC71" s="279" t="s">
        <v>520</v>
      </c>
      <c r="AD71" s="279" t="s">
        <v>491</v>
      </c>
      <c r="AE71" s="279">
        <v>82606</v>
      </c>
      <c r="AF71" s="279" t="s">
        <v>473</v>
      </c>
      <c r="AG71" s="279"/>
      <c r="AH71" s="279"/>
      <c r="AI71" s="279">
        <v>20230509</v>
      </c>
      <c r="AJ71" s="462" t="s">
        <v>1219</v>
      </c>
      <c r="AK71" s="279"/>
      <c r="AL71" s="279" t="str">
        <f>IF(AB71="Y","단종모델",LEFT(N71,3)&amp;IFERROR(VLOOKUP(LEFT(N71,3)&amp;P71,#REF!,2,0),""))</f>
        <v>HDM</v>
      </c>
      <c r="AM71" s="469" t="str">
        <f t="shared" si="0"/>
        <v xml:space="preserve">캐스퍼 가솔린 1.0 (밴) (아산출고) </v>
      </c>
      <c r="AN71" s="279">
        <f t="shared" ref="AN71:AN143" si="125">G71</f>
        <v>13750000</v>
      </c>
      <c r="AO71" s="279">
        <f t="shared" ref="AO71:AO143" si="126">H71</f>
        <v>998</v>
      </c>
      <c r="AP71" s="279" t="str">
        <f t="shared" ref="AP71:AP143" si="127">LEFT(K71,1)</f>
        <v>M</v>
      </c>
      <c r="AQ71" s="279">
        <f t="shared" ref="AQ71:AQ143" si="128">J71</f>
        <v>2</v>
      </c>
      <c r="AR71" s="279" t="str">
        <f t="shared" ref="AR71:AR143" si="129">RIGHT(D71,2)</f>
        <v>승용</v>
      </c>
      <c r="AS71" s="279" t="str">
        <f t="shared" ref="AS71:AS143" si="130">MID(W71,4,3)</f>
        <v>승용</v>
      </c>
      <c r="AT71" s="279" t="str">
        <f t="shared" si="111"/>
        <v>1급</v>
      </c>
      <c r="AU71" s="279" t="str">
        <f t="shared" si="112"/>
        <v>07:광주</v>
      </c>
      <c r="AV71" s="279">
        <f t="shared" si="11"/>
        <v>0</v>
      </c>
      <c r="AW71" s="279" t="str">
        <f t="shared" si="113"/>
        <v>D</v>
      </c>
      <c r="AX71" s="279" t="str">
        <f t="shared" si="114"/>
        <v>일반</v>
      </c>
      <c r="AY71" s="468">
        <v>2.5000000000000001E-2</v>
      </c>
      <c r="AZ71" s="468"/>
      <c r="BA71" s="279" t="s">
        <v>1689</v>
      </c>
      <c r="BB71" s="279" t="s">
        <v>1636</v>
      </c>
      <c r="BC71" s="279"/>
      <c r="BD71" s="279" t="s">
        <v>1474</v>
      </c>
      <c r="BE71" s="279" t="str">
        <f t="shared" si="4"/>
        <v>현대</v>
      </c>
      <c r="BF71" s="581">
        <v>4.1000000000000002E-2</v>
      </c>
      <c r="BG71" s="281">
        <v>116000</v>
      </c>
      <c r="BH71" s="281">
        <v>116000</v>
      </c>
      <c r="BI71" s="279"/>
      <c r="BJ71" s="279"/>
      <c r="BK71" s="279"/>
      <c r="BL71" s="279"/>
      <c r="BM71" s="279" t="s">
        <v>1547</v>
      </c>
      <c r="BN71" s="279"/>
      <c r="BO71" s="279"/>
      <c r="BP71" s="500">
        <f t="shared" si="13"/>
        <v>9.2999999999999999E-2</v>
      </c>
      <c r="BQ71" s="973">
        <f t="shared" si="14"/>
        <v>8.5999999999999993E-2</v>
      </c>
    </row>
    <row r="72" spans="1:69" s="460" customFormat="1" ht="15" customHeight="1">
      <c r="A72" s="281">
        <v>61</v>
      </c>
      <c r="B72" s="279">
        <v>399582744</v>
      </c>
      <c r="C72" s="279" t="s">
        <v>472</v>
      </c>
      <c r="D72" s="279" t="s">
        <v>473</v>
      </c>
      <c r="E72" s="279" t="s">
        <v>482</v>
      </c>
      <c r="F72" s="279" t="s">
        <v>474</v>
      </c>
      <c r="G72" s="279">
        <v>43950000</v>
      </c>
      <c r="H72" s="279">
        <v>2497</v>
      </c>
      <c r="I72" s="279">
        <v>0</v>
      </c>
      <c r="J72" s="279">
        <v>5</v>
      </c>
      <c r="K72" s="279" t="s">
        <v>475</v>
      </c>
      <c r="L72" s="279">
        <v>0</v>
      </c>
      <c r="M72" s="279" t="s">
        <v>98</v>
      </c>
      <c r="N72" s="279" t="s">
        <v>544</v>
      </c>
      <c r="O72" s="279" t="s">
        <v>103</v>
      </c>
      <c r="P72" s="279" t="s">
        <v>103</v>
      </c>
      <c r="Q72" s="279" t="s">
        <v>1134</v>
      </c>
      <c r="R72" s="279"/>
      <c r="S72" s="279">
        <v>60</v>
      </c>
      <c r="T72" s="279">
        <v>11.2</v>
      </c>
      <c r="U72" s="279" t="s">
        <v>497</v>
      </c>
      <c r="V72" s="279" t="s">
        <v>497</v>
      </c>
      <c r="W72" s="279" t="s">
        <v>473</v>
      </c>
      <c r="X72" s="279" t="s">
        <v>484</v>
      </c>
      <c r="Y72" s="282"/>
      <c r="Z72" s="282"/>
      <c r="AA72" s="282"/>
      <c r="AB72" s="279" t="s">
        <v>486</v>
      </c>
      <c r="AC72" s="493" t="s">
        <v>487</v>
      </c>
      <c r="AD72" s="279" t="s">
        <v>491</v>
      </c>
      <c r="AE72" s="493">
        <v>82744</v>
      </c>
      <c r="AF72" s="279" t="s">
        <v>473</v>
      </c>
      <c r="AG72" s="279"/>
      <c r="AH72" s="279"/>
      <c r="AI72" s="279">
        <v>20230525</v>
      </c>
      <c r="AJ72" s="462" t="s">
        <v>1153</v>
      </c>
      <c r="AK72" s="279"/>
      <c r="AL72" s="279" t="str">
        <f>IF(AB72="Y","단종모델",LEFT(N72,3)&amp;IFERROR(VLOOKUP(LEFT(N72,3)&amp;P72,#REF!,2,0),""))</f>
        <v>GNS</v>
      </c>
      <c r="AM72" s="469" t="str">
        <f t="shared" ref="AM72:AM113" si="131">O72&amp;" "&amp;Q72&amp;" "&amp;R72</f>
        <v xml:space="preserve">G70 가솔린 터보 2.5 </v>
      </c>
      <c r="AN72" s="279">
        <f t="shared" si="125"/>
        <v>43950000</v>
      </c>
      <c r="AO72" s="279">
        <f t="shared" si="126"/>
        <v>2497</v>
      </c>
      <c r="AP72" s="279" t="str">
        <f t="shared" si="127"/>
        <v>M</v>
      </c>
      <c r="AQ72" s="279">
        <f t="shared" si="128"/>
        <v>5</v>
      </c>
      <c r="AR72" s="279" t="str">
        <f t="shared" si="129"/>
        <v>승용</v>
      </c>
      <c r="AS72" s="279" t="str">
        <f t="shared" si="130"/>
        <v>승용</v>
      </c>
      <c r="AT72" s="279" t="str">
        <f t="shared" si="111"/>
        <v>4급</v>
      </c>
      <c r="AU72" s="279" t="str">
        <f t="shared" si="112"/>
        <v>03:울산대형</v>
      </c>
      <c r="AV72" s="279">
        <f t="shared" si="11"/>
        <v>0</v>
      </c>
      <c r="AW72" s="279" t="str">
        <f t="shared" si="113"/>
        <v>D</v>
      </c>
      <c r="AX72" s="279" t="str">
        <f t="shared" si="114"/>
        <v>전략P</v>
      </c>
      <c r="AY72" s="468">
        <v>0.02</v>
      </c>
      <c r="AZ72" s="468"/>
      <c r="BA72" s="279" t="s">
        <v>1653</v>
      </c>
      <c r="BB72" s="279" t="s">
        <v>1635</v>
      </c>
      <c r="BC72" s="279"/>
      <c r="BD72" s="279" t="s">
        <v>1184</v>
      </c>
      <c r="BE72" s="279" t="str">
        <f t="shared" si="4"/>
        <v>제네시스</v>
      </c>
      <c r="BF72" s="581">
        <v>4.1000000000000002E-2</v>
      </c>
      <c r="BG72" s="281">
        <v>80000</v>
      </c>
      <c r="BH72" s="281">
        <v>317000</v>
      </c>
      <c r="BI72" s="279"/>
      <c r="BJ72" s="279"/>
      <c r="BK72" s="279"/>
      <c r="BL72" s="279"/>
      <c r="BM72" s="279" t="s">
        <v>1547</v>
      </c>
      <c r="BN72" s="279"/>
      <c r="BO72" s="279"/>
      <c r="BP72" s="500">
        <f t="shared" si="13"/>
        <v>6.2E-2</v>
      </c>
      <c r="BQ72" s="973">
        <f t="shared" si="14"/>
        <v>5.5E-2</v>
      </c>
    </row>
    <row r="73" spans="1:69" s="460" customFormat="1" ht="15" customHeight="1">
      <c r="A73" s="281">
        <v>62</v>
      </c>
      <c r="B73" s="279">
        <v>399582757</v>
      </c>
      <c r="C73" s="279" t="s">
        <v>472</v>
      </c>
      <c r="D73" s="279" t="s">
        <v>473</v>
      </c>
      <c r="E73" s="279" t="s">
        <v>482</v>
      </c>
      <c r="F73" s="279" t="s">
        <v>474</v>
      </c>
      <c r="G73" s="279">
        <v>48950000</v>
      </c>
      <c r="H73" s="279">
        <v>3342</v>
      </c>
      <c r="I73" s="279">
        <v>0</v>
      </c>
      <c r="J73" s="279">
        <v>5</v>
      </c>
      <c r="K73" s="279" t="s">
        <v>475</v>
      </c>
      <c r="L73" s="279">
        <v>0</v>
      </c>
      <c r="M73" s="279" t="s">
        <v>98</v>
      </c>
      <c r="N73" s="279" t="s">
        <v>544</v>
      </c>
      <c r="O73" s="279" t="s">
        <v>103</v>
      </c>
      <c r="P73" s="279" t="s">
        <v>103</v>
      </c>
      <c r="Q73" s="279" t="s">
        <v>1135</v>
      </c>
      <c r="R73" s="279"/>
      <c r="S73" s="279">
        <v>60</v>
      </c>
      <c r="T73" s="279">
        <v>9.4</v>
      </c>
      <c r="U73" s="279" t="s">
        <v>555</v>
      </c>
      <c r="V73" s="279" t="s">
        <v>556</v>
      </c>
      <c r="W73" s="279" t="s">
        <v>473</v>
      </c>
      <c r="X73" s="279" t="s">
        <v>484</v>
      </c>
      <c r="Y73" s="282"/>
      <c r="Z73" s="282"/>
      <c r="AA73" s="282"/>
      <c r="AB73" s="279" t="s">
        <v>486</v>
      </c>
      <c r="AC73" s="279" t="s">
        <v>487</v>
      </c>
      <c r="AD73" s="279" t="s">
        <v>491</v>
      </c>
      <c r="AE73" s="279">
        <v>82757</v>
      </c>
      <c r="AF73" s="279" t="s">
        <v>473</v>
      </c>
      <c r="AG73" s="279"/>
      <c r="AH73" s="279"/>
      <c r="AI73" s="279">
        <v>20230525</v>
      </c>
      <c r="AJ73" s="462" t="s">
        <v>1153</v>
      </c>
      <c r="AK73" s="279"/>
      <c r="AL73" s="279" t="str">
        <f>IF(AB73="Y","단종모델",LEFT(N73,3)&amp;IFERROR(VLOOKUP(LEFT(N73,3)&amp;P73,#REF!,2,0),""))</f>
        <v>GNS</v>
      </c>
      <c r="AM73" s="469" t="str">
        <f t="shared" si="131"/>
        <v xml:space="preserve">G70 가솔린 터보 3.3 </v>
      </c>
      <c r="AN73" s="279">
        <f t="shared" si="125"/>
        <v>48950000</v>
      </c>
      <c r="AO73" s="279">
        <f t="shared" si="126"/>
        <v>3342</v>
      </c>
      <c r="AP73" s="279" t="str">
        <f t="shared" si="127"/>
        <v>M</v>
      </c>
      <c r="AQ73" s="279">
        <f t="shared" si="128"/>
        <v>5</v>
      </c>
      <c r="AR73" s="279" t="str">
        <f t="shared" si="129"/>
        <v>승용</v>
      </c>
      <c r="AS73" s="279" t="str">
        <f t="shared" si="130"/>
        <v>승용</v>
      </c>
      <c r="AT73" s="279" t="str">
        <f t="shared" si="111"/>
        <v>4급</v>
      </c>
      <c r="AU73" s="279" t="str">
        <f t="shared" si="112"/>
        <v>03:울산대형</v>
      </c>
      <c r="AV73" s="279">
        <f t="shared" si="11"/>
        <v>0</v>
      </c>
      <c r="AW73" s="279" t="str">
        <f t="shared" si="113"/>
        <v>D</v>
      </c>
      <c r="AX73" s="279" t="str">
        <f t="shared" si="114"/>
        <v>전략P</v>
      </c>
      <c r="AY73" s="468">
        <v>0.02</v>
      </c>
      <c r="AZ73" s="468"/>
      <c r="BA73" s="279" t="s">
        <v>828</v>
      </c>
      <c r="BB73" s="279" t="s">
        <v>1637</v>
      </c>
      <c r="BC73" s="279"/>
      <c r="BD73" s="279" t="s">
        <v>1184</v>
      </c>
      <c r="BE73" s="279" t="str">
        <f t="shared" si="4"/>
        <v>제네시스</v>
      </c>
      <c r="BF73" s="581">
        <v>4.1000000000000002E-2</v>
      </c>
      <c r="BG73" s="281">
        <v>80000</v>
      </c>
      <c r="BH73" s="281">
        <v>317000</v>
      </c>
      <c r="BI73" s="279"/>
      <c r="BJ73" s="279"/>
      <c r="BK73" s="279"/>
      <c r="BL73" s="279"/>
      <c r="BM73" s="279" t="s">
        <v>1547</v>
      </c>
      <c r="BN73" s="279"/>
      <c r="BO73" s="279"/>
      <c r="BP73" s="500">
        <f t="shared" si="13"/>
        <v>6.2E-2</v>
      </c>
      <c r="BQ73" s="973">
        <f t="shared" si="14"/>
        <v>5.5E-2</v>
      </c>
    </row>
    <row r="74" spans="1:69" s="460" customFormat="1" ht="15" customHeight="1">
      <c r="A74" s="281">
        <v>63</v>
      </c>
      <c r="B74" s="279">
        <v>399582761</v>
      </c>
      <c r="C74" s="279" t="s">
        <v>472</v>
      </c>
      <c r="D74" s="279" t="s">
        <v>473</v>
      </c>
      <c r="E74" s="279" t="s">
        <v>482</v>
      </c>
      <c r="F74" s="279" t="s">
        <v>474</v>
      </c>
      <c r="G74" s="279">
        <v>49280000</v>
      </c>
      <c r="H74" s="279">
        <v>2497</v>
      </c>
      <c r="I74" s="279">
        <v>0</v>
      </c>
      <c r="J74" s="279">
        <v>5</v>
      </c>
      <c r="K74" s="279" t="s">
        <v>475</v>
      </c>
      <c r="L74" s="279">
        <v>0</v>
      </c>
      <c r="M74" s="279" t="s">
        <v>98</v>
      </c>
      <c r="N74" s="279" t="s">
        <v>544</v>
      </c>
      <c r="O74" s="279" t="s">
        <v>103</v>
      </c>
      <c r="P74" s="279" t="s">
        <v>103</v>
      </c>
      <c r="Q74" s="279" t="s">
        <v>1142</v>
      </c>
      <c r="R74" s="279"/>
      <c r="S74" s="279">
        <v>60</v>
      </c>
      <c r="T74" s="279">
        <v>9.6999999999999993</v>
      </c>
      <c r="U74" s="279" t="s">
        <v>555</v>
      </c>
      <c r="V74" s="279" t="s">
        <v>556</v>
      </c>
      <c r="W74" s="279" t="s">
        <v>473</v>
      </c>
      <c r="X74" s="279" t="s">
        <v>498</v>
      </c>
      <c r="Y74" s="279"/>
      <c r="Z74" s="279"/>
      <c r="AA74" s="279"/>
      <c r="AB74" s="279" t="s">
        <v>486</v>
      </c>
      <c r="AC74" s="279" t="s">
        <v>499</v>
      </c>
      <c r="AD74" s="279" t="s">
        <v>491</v>
      </c>
      <c r="AE74" s="279">
        <v>82761</v>
      </c>
      <c r="AF74" s="279" t="s">
        <v>473</v>
      </c>
      <c r="AG74" s="279"/>
      <c r="AH74" s="279"/>
      <c r="AI74" s="279">
        <v>20230602</v>
      </c>
      <c r="AJ74" s="462" t="s">
        <v>1153</v>
      </c>
      <c r="AK74" s="279"/>
      <c r="AL74" s="279" t="str">
        <f>IF(AB74="Y","단종모델",LEFT(N74,3)&amp;IFERROR(VLOOKUP(LEFT(N74,3)&amp;P74,#REF!,2,0),""))</f>
        <v>GNS</v>
      </c>
      <c r="AM74" s="469" t="str">
        <f t="shared" si="131"/>
        <v xml:space="preserve">G70 가솔린 터보 2.5 슈팅 브레이크 </v>
      </c>
      <c r="AN74" s="279">
        <f t="shared" si="125"/>
        <v>49280000</v>
      </c>
      <c r="AO74" s="279">
        <f t="shared" si="126"/>
        <v>2497</v>
      </c>
      <c r="AP74" s="279" t="str">
        <f t="shared" si="127"/>
        <v>M</v>
      </c>
      <c r="AQ74" s="279">
        <f t="shared" si="128"/>
        <v>5</v>
      </c>
      <c r="AR74" s="279" t="str">
        <f t="shared" si="129"/>
        <v>승용</v>
      </c>
      <c r="AS74" s="279" t="str">
        <f t="shared" si="130"/>
        <v>승용</v>
      </c>
      <c r="AT74" s="279" t="str">
        <f t="shared" si="111"/>
        <v>3급</v>
      </c>
      <c r="AU74" s="279" t="str">
        <f t="shared" si="112"/>
        <v>03:울산대형</v>
      </c>
      <c r="AV74" s="279">
        <f t="shared" si="11"/>
        <v>0</v>
      </c>
      <c r="AW74" s="279" t="str">
        <f t="shared" si="113"/>
        <v>D</v>
      </c>
      <c r="AX74" s="279" t="str">
        <f t="shared" si="114"/>
        <v>전략P</v>
      </c>
      <c r="AY74" s="468">
        <v>0.02</v>
      </c>
      <c r="AZ74" s="468"/>
      <c r="BA74" s="279" t="s">
        <v>1686</v>
      </c>
      <c r="BB74" s="279" t="s">
        <v>1637</v>
      </c>
      <c r="BC74" s="279"/>
      <c r="BD74" s="279" t="s">
        <v>1184</v>
      </c>
      <c r="BE74" s="279" t="str">
        <f t="shared" si="4"/>
        <v>제네시스</v>
      </c>
      <c r="BF74" s="581">
        <v>4.1000000000000002E-2</v>
      </c>
      <c r="BG74" s="281">
        <v>80000</v>
      </c>
      <c r="BH74" s="281">
        <v>317000</v>
      </c>
      <c r="BI74" s="279"/>
      <c r="BJ74" s="279"/>
      <c r="BK74" s="279"/>
      <c r="BL74" s="279"/>
      <c r="BM74" s="279" t="s">
        <v>1547</v>
      </c>
      <c r="BN74" s="279"/>
      <c r="BO74" s="279"/>
      <c r="BP74" s="500">
        <f t="shared" si="13"/>
        <v>6.2E-2</v>
      </c>
      <c r="BQ74" s="973">
        <f t="shared" si="14"/>
        <v>5.5E-2</v>
      </c>
    </row>
    <row r="75" spans="1:69" s="460" customFormat="1" ht="15" customHeight="1">
      <c r="A75" s="281">
        <v>64</v>
      </c>
      <c r="B75" s="279">
        <v>460387038</v>
      </c>
      <c r="C75" s="279" t="s">
        <v>472</v>
      </c>
      <c r="D75" s="279" t="s">
        <v>473</v>
      </c>
      <c r="E75" s="279" t="s">
        <v>482</v>
      </c>
      <c r="F75" s="279" t="s">
        <v>474</v>
      </c>
      <c r="G75" s="279">
        <v>58900000</v>
      </c>
      <c r="H75" s="279">
        <v>2497</v>
      </c>
      <c r="I75" s="279">
        <v>0</v>
      </c>
      <c r="J75" s="279">
        <v>5</v>
      </c>
      <c r="K75" s="279" t="s">
        <v>475</v>
      </c>
      <c r="L75" s="279">
        <v>0</v>
      </c>
      <c r="M75" s="279" t="s">
        <v>98</v>
      </c>
      <c r="N75" s="279" t="s">
        <v>544</v>
      </c>
      <c r="O75" s="279" t="s">
        <v>1433</v>
      </c>
      <c r="P75" s="279" t="s">
        <v>1433</v>
      </c>
      <c r="Q75" s="279" t="s">
        <v>1434</v>
      </c>
      <c r="R75" s="279" t="s">
        <v>1430</v>
      </c>
      <c r="S75" s="279">
        <v>65</v>
      </c>
      <c r="T75" s="279">
        <v>10.6</v>
      </c>
      <c r="U75" s="279" t="s">
        <v>531</v>
      </c>
      <c r="V75" s="279" t="s">
        <v>531</v>
      </c>
      <c r="W75" s="279" t="s">
        <v>473</v>
      </c>
      <c r="X75" s="279" t="s">
        <v>484</v>
      </c>
      <c r="Y75" s="279"/>
      <c r="Z75" s="279"/>
      <c r="AA75" s="279"/>
      <c r="AB75" s="279" t="s">
        <v>486</v>
      </c>
      <c r="AC75" s="279" t="s">
        <v>1432</v>
      </c>
      <c r="AD75" s="279" t="s">
        <v>491</v>
      </c>
      <c r="AE75" s="279">
        <v>87038</v>
      </c>
      <c r="AF75" s="279" t="s">
        <v>473</v>
      </c>
      <c r="AG75" s="279"/>
      <c r="AH75" s="279"/>
      <c r="AI75" s="279">
        <v>20240510</v>
      </c>
      <c r="AJ75" s="462" t="s">
        <v>1153</v>
      </c>
      <c r="AK75" s="279"/>
      <c r="AL75" s="279" t="str">
        <f>IF(AB75="Y","단종모델",LEFT(N75,3)&amp;IFERROR(VLOOKUP(LEFT(N75,3)&amp;P75,#REF!,2,0),""))</f>
        <v>GNS</v>
      </c>
      <c r="AM75" s="469" t="str">
        <f t="shared" si="131"/>
        <v>G80 가솔린 터보 2.5 2WD</v>
      </c>
      <c r="AN75" s="279">
        <f t="shared" si="125"/>
        <v>58900000</v>
      </c>
      <c r="AO75" s="279">
        <f t="shared" si="126"/>
        <v>2497</v>
      </c>
      <c r="AP75" s="279" t="str">
        <f t="shared" si="127"/>
        <v>M</v>
      </c>
      <c r="AQ75" s="279">
        <f t="shared" si="128"/>
        <v>5</v>
      </c>
      <c r="AR75" s="279" t="str">
        <f t="shared" si="129"/>
        <v>승용</v>
      </c>
      <c r="AS75" s="279" t="str">
        <f t="shared" si="130"/>
        <v>승용</v>
      </c>
      <c r="AT75" s="279" t="str">
        <f t="shared" si="111"/>
        <v>5급</v>
      </c>
      <c r="AU75" s="279" t="str">
        <f t="shared" si="112"/>
        <v>03:울산대형</v>
      </c>
      <c r="AV75" s="279">
        <f t="shared" si="11"/>
        <v>0</v>
      </c>
      <c r="AW75" s="279" t="str">
        <f t="shared" si="113"/>
        <v>D</v>
      </c>
      <c r="AX75" s="279" t="str">
        <f t="shared" si="114"/>
        <v>전략P</v>
      </c>
      <c r="AY75" s="468">
        <v>0.02</v>
      </c>
      <c r="AZ75" s="468"/>
      <c r="BA75" s="279" t="s">
        <v>1550</v>
      </c>
      <c r="BB75" s="279" t="s">
        <v>1630</v>
      </c>
      <c r="BC75" s="279"/>
      <c r="BD75" s="279" t="s">
        <v>1184</v>
      </c>
      <c r="BE75" s="279" t="str">
        <f t="shared" si="4"/>
        <v>제네시스</v>
      </c>
      <c r="BF75" s="581">
        <v>4.1000000000000002E-2</v>
      </c>
      <c r="BG75" s="281">
        <v>80000</v>
      </c>
      <c r="BH75" s="281">
        <v>329000</v>
      </c>
      <c r="BI75" s="279"/>
      <c r="BJ75" s="279"/>
      <c r="BK75" s="279"/>
      <c r="BL75" s="279"/>
      <c r="BM75" s="279" t="s">
        <v>1547</v>
      </c>
      <c r="BN75" s="279"/>
      <c r="BO75" s="279"/>
      <c r="BP75" s="500">
        <f t="shared" si="13"/>
        <v>6.2E-2</v>
      </c>
      <c r="BQ75" s="973">
        <f t="shared" si="14"/>
        <v>5.5E-2</v>
      </c>
    </row>
    <row r="76" spans="1:69" s="460" customFormat="1" ht="15" customHeight="1">
      <c r="A76" s="281">
        <v>65</v>
      </c>
      <c r="B76" s="279">
        <v>460387090</v>
      </c>
      <c r="C76" s="279" t="s">
        <v>472</v>
      </c>
      <c r="D76" s="279" t="s">
        <v>473</v>
      </c>
      <c r="E76" s="279" t="s">
        <v>482</v>
      </c>
      <c r="F76" s="279" t="s">
        <v>474</v>
      </c>
      <c r="G76" s="279">
        <v>61700000</v>
      </c>
      <c r="H76" s="279">
        <v>2497</v>
      </c>
      <c r="I76" s="279">
        <v>0</v>
      </c>
      <c r="J76" s="279">
        <v>5</v>
      </c>
      <c r="K76" s="279" t="s">
        <v>475</v>
      </c>
      <c r="L76" s="279">
        <v>0</v>
      </c>
      <c r="M76" s="279" t="s">
        <v>98</v>
      </c>
      <c r="N76" s="279" t="s">
        <v>544</v>
      </c>
      <c r="O76" s="279" t="s">
        <v>1433</v>
      </c>
      <c r="P76" s="279" t="s">
        <v>1433</v>
      </c>
      <c r="Q76" s="279" t="s">
        <v>1434</v>
      </c>
      <c r="R76" s="279" t="s">
        <v>1431</v>
      </c>
      <c r="S76" s="279">
        <v>65</v>
      </c>
      <c r="T76" s="279">
        <v>9.9</v>
      </c>
      <c r="U76" s="279" t="s">
        <v>531</v>
      </c>
      <c r="V76" s="279" t="s">
        <v>531</v>
      </c>
      <c r="W76" s="279" t="s">
        <v>473</v>
      </c>
      <c r="X76" s="279" t="s">
        <v>484</v>
      </c>
      <c r="Y76" s="279"/>
      <c r="Z76" s="279"/>
      <c r="AA76" s="279"/>
      <c r="AB76" s="279" t="s">
        <v>486</v>
      </c>
      <c r="AC76" s="279" t="s">
        <v>1432</v>
      </c>
      <c r="AD76" s="279" t="s">
        <v>491</v>
      </c>
      <c r="AE76" s="279">
        <v>87090</v>
      </c>
      <c r="AF76" s="279" t="s">
        <v>473</v>
      </c>
      <c r="AG76" s="279"/>
      <c r="AH76" s="279"/>
      <c r="AI76" s="279">
        <v>20240510</v>
      </c>
      <c r="AJ76" s="462" t="s">
        <v>1153</v>
      </c>
      <c r="AK76" s="279"/>
      <c r="AL76" s="279" t="str">
        <f>IF(AB76="Y","단종모델",LEFT(N76,3)&amp;IFERROR(VLOOKUP(LEFT(N76,3)&amp;P76,#REF!,2,0),""))</f>
        <v>GNS</v>
      </c>
      <c r="AM76" s="469" t="str">
        <f t="shared" si="131"/>
        <v>G80 가솔린 터보 2.5 AWD</v>
      </c>
      <c r="AN76" s="279">
        <f t="shared" si="125"/>
        <v>61700000</v>
      </c>
      <c r="AO76" s="279">
        <f t="shared" si="126"/>
        <v>2497</v>
      </c>
      <c r="AP76" s="279" t="str">
        <f t="shared" si="127"/>
        <v>M</v>
      </c>
      <c r="AQ76" s="279">
        <f t="shared" si="128"/>
        <v>5</v>
      </c>
      <c r="AR76" s="279" t="str">
        <f t="shared" si="129"/>
        <v>승용</v>
      </c>
      <c r="AS76" s="279" t="str">
        <f t="shared" si="130"/>
        <v>승용</v>
      </c>
      <c r="AT76" s="279" t="str">
        <f t="shared" si="111"/>
        <v>5급</v>
      </c>
      <c r="AU76" s="279" t="str">
        <f t="shared" si="112"/>
        <v>03:울산대형</v>
      </c>
      <c r="AV76" s="279">
        <f t="shared" si="11"/>
        <v>0</v>
      </c>
      <c r="AW76" s="279" t="str">
        <f t="shared" si="113"/>
        <v>D</v>
      </c>
      <c r="AX76" s="279" t="str">
        <f t="shared" si="114"/>
        <v>전략P</v>
      </c>
      <c r="AY76" s="468">
        <v>0.02</v>
      </c>
      <c r="AZ76" s="468"/>
      <c r="BA76" s="279" t="s">
        <v>1550</v>
      </c>
      <c r="BB76" s="279" t="s">
        <v>1630</v>
      </c>
      <c r="BC76" s="279"/>
      <c r="BD76" s="279" t="s">
        <v>1184</v>
      </c>
      <c r="BE76" s="279" t="str">
        <f t="shared" si="4"/>
        <v>제네시스</v>
      </c>
      <c r="BF76" s="581">
        <v>4.1000000000000002E-2</v>
      </c>
      <c r="BG76" s="281">
        <v>80000</v>
      </c>
      <c r="BH76" s="281">
        <v>329000</v>
      </c>
      <c r="BI76" s="279"/>
      <c r="BJ76" s="279"/>
      <c r="BK76" s="279"/>
      <c r="BL76" s="279"/>
      <c r="BM76" s="279" t="s">
        <v>1547</v>
      </c>
      <c r="BN76" s="279"/>
      <c r="BO76" s="279"/>
      <c r="BP76" s="500">
        <f t="shared" si="13"/>
        <v>6.2E-2</v>
      </c>
      <c r="BQ76" s="973">
        <f t="shared" si="14"/>
        <v>5.5E-2</v>
      </c>
    </row>
    <row r="77" spans="1:69" s="460" customFormat="1" ht="15" customHeight="1">
      <c r="A77" s="281">
        <v>65</v>
      </c>
      <c r="B77" s="279">
        <v>460389453</v>
      </c>
      <c r="C77" s="279" t="s">
        <v>472</v>
      </c>
      <c r="D77" s="279" t="s">
        <v>473</v>
      </c>
      <c r="E77" s="279" t="s">
        <v>482</v>
      </c>
      <c r="F77" s="279" t="s">
        <v>474</v>
      </c>
      <c r="G77" s="279">
        <v>82750000</v>
      </c>
      <c r="H77" s="279">
        <v>2497</v>
      </c>
      <c r="I77" s="279">
        <v>0</v>
      </c>
      <c r="J77" s="279">
        <v>5</v>
      </c>
      <c r="K77" s="279" t="s">
        <v>475</v>
      </c>
      <c r="L77" s="279">
        <v>0</v>
      </c>
      <c r="M77" s="279" t="s">
        <v>98</v>
      </c>
      <c r="N77" s="279" t="s">
        <v>544</v>
      </c>
      <c r="O77" s="279" t="s">
        <v>101</v>
      </c>
      <c r="P77" s="279" t="s">
        <v>101</v>
      </c>
      <c r="Q77" s="279" t="s">
        <v>2005</v>
      </c>
      <c r="R77" s="279" t="s">
        <v>2002</v>
      </c>
      <c r="S77" s="279">
        <v>65</v>
      </c>
      <c r="T77" s="279">
        <v>9.4</v>
      </c>
      <c r="U77" s="279" t="s">
        <v>2003</v>
      </c>
      <c r="V77" s="279" t="s">
        <v>2004</v>
      </c>
      <c r="W77" s="279" t="s">
        <v>473</v>
      </c>
      <c r="X77" s="279" t="s">
        <v>484</v>
      </c>
      <c r="Y77" s="279"/>
      <c r="Z77" s="279"/>
      <c r="AA77" s="279"/>
      <c r="AB77" s="279" t="s">
        <v>486</v>
      </c>
      <c r="AC77" s="279" t="s">
        <v>1432</v>
      </c>
      <c r="AD77" s="279" t="s">
        <v>491</v>
      </c>
      <c r="AE77" s="279">
        <v>89453</v>
      </c>
      <c r="AF77" s="279" t="s">
        <v>473</v>
      </c>
      <c r="AG77" s="279"/>
      <c r="AH77" s="279"/>
      <c r="AI77" s="279">
        <v>20250114</v>
      </c>
      <c r="AJ77" s="462" t="s">
        <v>937</v>
      </c>
      <c r="AK77" s="279"/>
      <c r="AL77" s="279" t="str">
        <f>IF(AB77="Y","단종모델",LEFT(N77,3)&amp;IFERROR(VLOOKUP(LEFT(N77,3)&amp;P77,#REF!,2,0),""))</f>
        <v>GNS</v>
      </c>
      <c r="AM77" s="469" t="str">
        <f t="shared" ref="AM77" si="132">O77&amp;" "&amp;Q77&amp;" "&amp;R77</f>
        <v>G80 가솔린 터보 2.5 BLACK AWD</v>
      </c>
      <c r="AN77" s="279">
        <f t="shared" ref="AN77" si="133">G77</f>
        <v>82750000</v>
      </c>
      <c r="AO77" s="279">
        <f t="shared" ref="AO77" si="134">H77</f>
        <v>2497</v>
      </c>
      <c r="AP77" s="279" t="str">
        <f t="shared" ref="AP77" si="135">LEFT(K77,1)</f>
        <v>M</v>
      </c>
      <c r="AQ77" s="279">
        <f t="shared" ref="AQ77" si="136">J77</f>
        <v>5</v>
      </c>
      <c r="AR77" s="279" t="str">
        <f t="shared" ref="AR77" si="137">RIGHT(D77,2)</f>
        <v>승용</v>
      </c>
      <c r="AS77" s="279" t="str">
        <f t="shared" ref="AS77" si="138">MID(W77,4,3)</f>
        <v>승용</v>
      </c>
      <c r="AT77" s="279" t="str">
        <f t="shared" ref="AT77" si="139">RIGHT(AC77,2)</f>
        <v>5급</v>
      </c>
      <c r="AU77" s="279" t="str">
        <f t="shared" ref="AU77" si="140">AB77</f>
        <v>03:울산대형</v>
      </c>
      <c r="AV77" s="279">
        <f t="shared" ref="AV77" si="141">IF(AND(BE77="기아",AQ77&lt;7),1900,IF(AND(BE77="기아",AQ77&gt;6,AQ77&lt;11),2500,IF(AND(BE77="기아",AQ77&gt;10),3500,IF(AND(BE77="KG모빌리티",AQ77&lt;7),3650,IF(AND(BE77="KG모빌리티",AQ77&gt;6),4300,0)))))</f>
        <v>0</v>
      </c>
      <c r="AW77" s="279" t="str">
        <f t="shared" ref="AW77" si="142">LEFT(F77,1)</f>
        <v>D</v>
      </c>
      <c r="AX77" s="279" t="str">
        <f t="shared" ref="AX77" si="143">AJ77</f>
        <v>전략P</v>
      </c>
      <c r="AY77" s="468">
        <v>0.02</v>
      </c>
      <c r="AZ77" s="468"/>
      <c r="BA77" s="279" t="s">
        <v>1553</v>
      </c>
      <c r="BB77" s="279" t="s">
        <v>1552</v>
      </c>
      <c r="BC77" s="279"/>
      <c r="BD77" s="279" t="s">
        <v>1184</v>
      </c>
      <c r="BE77" s="279" t="str">
        <f t="shared" ref="BE77" si="144">M77</f>
        <v>제네시스</v>
      </c>
      <c r="BF77" s="581">
        <v>4.1000000000000002E-2</v>
      </c>
      <c r="BG77" s="281">
        <v>80000</v>
      </c>
      <c r="BH77" s="281">
        <v>329000</v>
      </c>
      <c r="BI77" s="279"/>
      <c r="BJ77" s="279"/>
      <c r="BK77" s="279"/>
      <c r="BL77" s="279"/>
      <c r="BM77" s="279" t="s">
        <v>1547</v>
      </c>
      <c r="BN77" s="279"/>
      <c r="BO77" s="279"/>
      <c r="BP77" s="500">
        <f t="shared" ref="BP77" si="145">IF(AJ77="전략P",0.062,IF(AJ77="전략",0.068,IF(AND(AJ77="전기",LEFT(AM77,2)="레이"),0.145,IF(AJ77="전기",0.065,IF(LEFT(AM77,3)="캐스퍼",0.093,IF(H77&lt;1000,0.145,0.093))))))-IF(BO77&gt;0,BO77%,0%)</f>
        <v>6.2E-2</v>
      </c>
      <c r="BQ77" s="973">
        <f t="shared" ref="BQ77" si="146">BP77-0.007</f>
        <v>5.5E-2</v>
      </c>
    </row>
    <row r="78" spans="1:69" s="460" customFormat="1" ht="15" customHeight="1">
      <c r="A78" s="281">
        <v>66</v>
      </c>
      <c r="B78" s="279">
        <v>460387093</v>
      </c>
      <c r="C78" s="279" t="s">
        <v>472</v>
      </c>
      <c r="D78" s="279" t="s">
        <v>473</v>
      </c>
      <c r="E78" s="279" t="s">
        <v>482</v>
      </c>
      <c r="F78" s="279" t="s">
        <v>474</v>
      </c>
      <c r="G78" s="279">
        <v>65500000</v>
      </c>
      <c r="H78" s="279">
        <v>3470</v>
      </c>
      <c r="I78" s="279">
        <v>0</v>
      </c>
      <c r="J78" s="279">
        <v>5</v>
      </c>
      <c r="K78" s="279" t="s">
        <v>475</v>
      </c>
      <c r="L78" s="279">
        <v>0</v>
      </c>
      <c r="M78" s="279" t="s">
        <v>98</v>
      </c>
      <c r="N78" s="279" t="s">
        <v>544</v>
      </c>
      <c r="O78" s="279" t="s">
        <v>1433</v>
      </c>
      <c r="P78" s="279" t="s">
        <v>1433</v>
      </c>
      <c r="Q78" s="279" t="s">
        <v>1435</v>
      </c>
      <c r="R78" s="279" t="s">
        <v>1430</v>
      </c>
      <c r="S78" s="279">
        <v>73</v>
      </c>
      <c r="T78" s="279">
        <v>9</v>
      </c>
      <c r="U78" s="279" t="s">
        <v>513</v>
      </c>
      <c r="V78" s="279" t="s">
        <v>524</v>
      </c>
      <c r="W78" s="279" t="s">
        <v>473</v>
      </c>
      <c r="X78" s="279" t="s">
        <v>484</v>
      </c>
      <c r="Y78" s="279"/>
      <c r="Z78" s="279"/>
      <c r="AA78" s="279"/>
      <c r="AB78" s="279" t="s">
        <v>486</v>
      </c>
      <c r="AC78" s="279" t="s">
        <v>518</v>
      </c>
      <c r="AD78" s="279" t="s">
        <v>491</v>
      </c>
      <c r="AE78" s="279">
        <v>87093</v>
      </c>
      <c r="AF78" s="279" t="s">
        <v>473</v>
      </c>
      <c r="AG78" s="279"/>
      <c r="AH78" s="279"/>
      <c r="AI78" s="279">
        <v>20240510</v>
      </c>
      <c r="AJ78" s="462" t="s">
        <v>1153</v>
      </c>
      <c r="AK78" s="279"/>
      <c r="AL78" s="279" t="str">
        <f>IF(AB78="Y","단종모델",LEFT(N78,3)&amp;IFERROR(VLOOKUP(LEFT(N78,3)&amp;P78,#REF!,2,0),""))</f>
        <v>GNS</v>
      </c>
      <c r="AM78" s="469" t="str">
        <f t="shared" si="131"/>
        <v>G80 가솔린 터보 3.5 2WD</v>
      </c>
      <c r="AN78" s="279">
        <f t="shared" si="125"/>
        <v>65500000</v>
      </c>
      <c r="AO78" s="279">
        <f t="shared" si="126"/>
        <v>3470</v>
      </c>
      <c r="AP78" s="279" t="str">
        <f t="shared" si="127"/>
        <v>M</v>
      </c>
      <c r="AQ78" s="279">
        <f t="shared" si="128"/>
        <v>5</v>
      </c>
      <c r="AR78" s="279" t="str">
        <f t="shared" si="129"/>
        <v>승용</v>
      </c>
      <c r="AS78" s="279" t="str">
        <f t="shared" si="130"/>
        <v>승용</v>
      </c>
      <c r="AT78" s="279" t="str">
        <f t="shared" si="111"/>
        <v>5급</v>
      </c>
      <c r="AU78" s="279" t="str">
        <f t="shared" si="112"/>
        <v>03:울산대형</v>
      </c>
      <c r="AV78" s="279">
        <f t="shared" si="11"/>
        <v>0</v>
      </c>
      <c r="AW78" s="279" t="str">
        <f t="shared" si="113"/>
        <v>D</v>
      </c>
      <c r="AX78" s="279" t="str">
        <f t="shared" si="114"/>
        <v>전략P</v>
      </c>
      <c r="AY78" s="468">
        <v>0.02</v>
      </c>
      <c r="AZ78" s="468"/>
      <c r="BA78" s="279" t="s">
        <v>817</v>
      </c>
      <c r="BB78" s="279" t="s">
        <v>1638</v>
      </c>
      <c r="BC78" s="279"/>
      <c r="BD78" s="279" t="s">
        <v>1184</v>
      </c>
      <c r="BE78" s="279" t="str">
        <f t="shared" si="4"/>
        <v>제네시스</v>
      </c>
      <c r="BF78" s="581">
        <v>4.1000000000000002E-2</v>
      </c>
      <c r="BG78" s="281">
        <v>80000</v>
      </c>
      <c r="BH78" s="281">
        <v>329000</v>
      </c>
      <c r="BI78" s="279"/>
      <c r="BJ78" s="279"/>
      <c r="BK78" s="279"/>
      <c r="BL78" s="279"/>
      <c r="BM78" s="279" t="s">
        <v>1547</v>
      </c>
      <c r="BN78" s="279"/>
      <c r="BO78" s="279"/>
      <c r="BP78" s="500">
        <f t="shared" ref="BP78:BP148" si="147">IF(AJ78="전략P",0.062,IF(AJ78="전략",0.068,IF(AND(AJ78="전기",LEFT(AM78,2)="레이"),0.145,IF(AJ78="전기",0.065,IF(LEFT(AM78,3)="캐스퍼",0.093,IF(H78&lt;1000,0.145,0.093))))))-IF(BO78&gt;0,BO78%,0%)</f>
        <v>6.2E-2</v>
      </c>
      <c r="BQ78" s="973">
        <f t="shared" ref="BQ78:BQ150" si="148">BP78-0.007</f>
        <v>5.5E-2</v>
      </c>
    </row>
    <row r="79" spans="1:69" s="460" customFormat="1" ht="15" customHeight="1">
      <c r="A79" s="281">
        <v>67</v>
      </c>
      <c r="B79" s="279">
        <v>460387094</v>
      </c>
      <c r="C79" s="279" t="s">
        <v>472</v>
      </c>
      <c r="D79" s="279" t="s">
        <v>473</v>
      </c>
      <c r="E79" s="279" t="s">
        <v>482</v>
      </c>
      <c r="F79" s="279" t="s">
        <v>474</v>
      </c>
      <c r="G79" s="279">
        <v>68300000</v>
      </c>
      <c r="H79" s="279">
        <v>3470</v>
      </c>
      <c r="I79" s="279">
        <v>0</v>
      </c>
      <c r="J79" s="279">
        <v>5</v>
      </c>
      <c r="K79" s="279" t="s">
        <v>475</v>
      </c>
      <c r="L79" s="279">
        <v>0</v>
      </c>
      <c r="M79" s="279" t="s">
        <v>98</v>
      </c>
      <c r="N79" s="279" t="s">
        <v>544</v>
      </c>
      <c r="O79" s="279" t="s">
        <v>1433</v>
      </c>
      <c r="P79" s="279" t="s">
        <v>1433</v>
      </c>
      <c r="Q79" s="279" t="s">
        <v>1435</v>
      </c>
      <c r="R79" s="279" t="s">
        <v>1431</v>
      </c>
      <c r="S79" s="279">
        <v>73</v>
      </c>
      <c r="T79" s="279">
        <v>8.3000000000000007</v>
      </c>
      <c r="U79" s="279" t="s">
        <v>513</v>
      </c>
      <c r="V79" s="279" t="s">
        <v>524</v>
      </c>
      <c r="W79" s="279" t="s">
        <v>473</v>
      </c>
      <c r="X79" s="279" t="s">
        <v>484</v>
      </c>
      <c r="Y79" s="279"/>
      <c r="Z79" s="279"/>
      <c r="AA79" s="279"/>
      <c r="AB79" s="279" t="s">
        <v>486</v>
      </c>
      <c r="AC79" s="279" t="s">
        <v>518</v>
      </c>
      <c r="AD79" s="279" t="s">
        <v>491</v>
      </c>
      <c r="AE79" s="279">
        <v>87094</v>
      </c>
      <c r="AF79" s="279" t="s">
        <v>473</v>
      </c>
      <c r="AG79" s="279"/>
      <c r="AH79" s="279"/>
      <c r="AI79" s="279">
        <v>20240510</v>
      </c>
      <c r="AJ79" s="462" t="s">
        <v>1153</v>
      </c>
      <c r="AK79" s="279"/>
      <c r="AL79" s="279" t="str">
        <f>IF(AB79="Y","단종모델",LEFT(N79,3)&amp;IFERROR(VLOOKUP(LEFT(N79,3)&amp;P79,#REF!,2,0),""))</f>
        <v>GNS</v>
      </c>
      <c r="AM79" s="469" t="str">
        <f t="shared" si="131"/>
        <v>G80 가솔린 터보 3.5 AWD</v>
      </c>
      <c r="AN79" s="279">
        <f t="shared" si="125"/>
        <v>68300000</v>
      </c>
      <c r="AO79" s="279">
        <f t="shared" si="126"/>
        <v>3470</v>
      </c>
      <c r="AP79" s="279" t="str">
        <f t="shared" si="127"/>
        <v>M</v>
      </c>
      <c r="AQ79" s="279">
        <f t="shared" si="128"/>
        <v>5</v>
      </c>
      <c r="AR79" s="279" t="str">
        <f t="shared" si="129"/>
        <v>승용</v>
      </c>
      <c r="AS79" s="279" t="str">
        <f t="shared" si="130"/>
        <v>승용</v>
      </c>
      <c r="AT79" s="279" t="str">
        <f t="shared" si="111"/>
        <v>5급</v>
      </c>
      <c r="AU79" s="279" t="str">
        <f t="shared" si="112"/>
        <v>03:울산대형</v>
      </c>
      <c r="AV79" s="279">
        <f t="shared" si="11"/>
        <v>0</v>
      </c>
      <c r="AW79" s="279" t="str">
        <f t="shared" si="113"/>
        <v>D</v>
      </c>
      <c r="AX79" s="279" t="str">
        <f t="shared" si="114"/>
        <v>전략P</v>
      </c>
      <c r="AY79" s="468">
        <v>0.02</v>
      </c>
      <c r="AZ79" s="468"/>
      <c r="BA79" s="279" t="s">
        <v>817</v>
      </c>
      <c r="BB79" s="279" t="s">
        <v>1638</v>
      </c>
      <c r="BC79" s="279"/>
      <c r="BD79" s="279" t="s">
        <v>1184</v>
      </c>
      <c r="BE79" s="279" t="str">
        <f t="shared" si="4"/>
        <v>제네시스</v>
      </c>
      <c r="BF79" s="581">
        <v>4.1000000000000002E-2</v>
      </c>
      <c r="BG79" s="281">
        <v>80000</v>
      </c>
      <c r="BH79" s="281">
        <v>329000</v>
      </c>
      <c r="BI79" s="279"/>
      <c r="BJ79" s="279"/>
      <c r="BK79" s="279"/>
      <c r="BL79" s="279"/>
      <c r="BM79" s="279" t="s">
        <v>1547</v>
      </c>
      <c r="BN79" s="279"/>
      <c r="BO79" s="279"/>
      <c r="BP79" s="500">
        <f t="shared" si="147"/>
        <v>6.2E-2</v>
      </c>
      <c r="BQ79" s="973">
        <f t="shared" si="148"/>
        <v>5.5E-2</v>
      </c>
    </row>
    <row r="80" spans="1:69" s="460" customFormat="1" ht="15" customHeight="1">
      <c r="A80" s="281">
        <v>68</v>
      </c>
      <c r="B80" s="279">
        <v>401687636</v>
      </c>
      <c r="C80" s="279" t="s">
        <v>472</v>
      </c>
      <c r="D80" s="279" t="s">
        <v>473</v>
      </c>
      <c r="E80" s="279" t="s">
        <v>482</v>
      </c>
      <c r="F80" s="279" t="s">
        <v>474</v>
      </c>
      <c r="G80" s="279">
        <v>95400000</v>
      </c>
      <c r="H80" s="279">
        <v>3470</v>
      </c>
      <c r="I80" s="279">
        <v>0</v>
      </c>
      <c r="J80" s="279">
        <v>5</v>
      </c>
      <c r="K80" s="279" t="s">
        <v>475</v>
      </c>
      <c r="L80" s="279">
        <v>0</v>
      </c>
      <c r="M80" s="279" t="s">
        <v>98</v>
      </c>
      <c r="N80" s="279" t="s">
        <v>544</v>
      </c>
      <c r="O80" s="279" t="s">
        <v>109</v>
      </c>
      <c r="P80" s="279" t="s">
        <v>109</v>
      </c>
      <c r="Q80" s="279" t="s">
        <v>1351</v>
      </c>
      <c r="R80" s="279" t="s">
        <v>545</v>
      </c>
      <c r="S80" s="279">
        <v>73</v>
      </c>
      <c r="T80" s="279">
        <v>9.3000000000000007</v>
      </c>
      <c r="U80" s="279" t="s">
        <v>572</v>
      </c>
      <c r="V80" s="279" t="s">
        <v>572</v>
      </c>
      <c r="W80" s="279" t="s">
        <v>473</v>
      </c>
      <c r="X80" s="279" t="s">
        <v>484</v>
      </c>
      <c r="Y80" s="279"/>
      <c r="Z80" s="279"/>
      <c r="AA80" s="279"/>
      <c r="AB80" s="282" t="s">
        <v>486</v>
      </c>
      <c r="AC80" s="279" t="s">
        <v>1359</v>
      </c>
      <c r="AD80" s="279" t="s">
        <v>491</v>
      </c>
      <c r="AE80" s="279">
        <v>87636</v>
      </c>
      <c r="AF80" s="279" t="s">
        <v>473</v>
      </c>
      <c r="AG80" s="279"/>
      <c r="AH80" s="279"/>
      <c r="AI80" s="279">
        <v>20240326</v>
      </c>
      <c r="AJ80" s="462" t="s">
        <v>1153</v>
      </c>
      <c r="AK80" s="279"/>
      <c r="AL80" s="279" t="str">
        <f>IF(AB80="Y","단종모델",LEFT(N80,3)&amp;IFERROR(VLOOKUP(LEFT(N80,3)&amp;P80,#REF!,2,0),""))</f>
        <v>GNS</v>
      </c>
      <c r="AM80" s="469" t="str">
        <f t="shared" si="131"/>
        <v>G90  가솔린 터보 3.5 2WD (5인승)</v>
      </c>
      <c r="AN80" s="279">
        <f t="shared" si="125"/>
        <v>95400000</v>
      </c>
      <c r="AO80" s="279">
        <f t="shared" si="126"/>
        <v>3470</v>
      </c>
      <c r="AP80" s="279" t="str">
        <f t="shared" si="127"/>
        <v>M</v>
      </c>
      <c r="AQ80" s="279">
        <f t="shared" si="128"/>
        <v>5</v>
      </c>
      <c r="AR80" s="279" t="str">
        <f t="shared" si="129"/>
        <v>승용</v>
      </c>
      <c r="AS80" s="279" t="str">
        <f t="shared" si="130"/>
        <v>승용</v>
      </c>
      <c r="AT80" s="279" t="str">
        <f t="shared" si="111"/>
        <v>6급</v>
      </c>
      <c r="AU80" s="279" t="str">
        <f t="shared" si="112"/>
        <v>03:울산대형</v>
      </c>
      <c r="AV80" s="279">
        <f t="shared" si="11"/>
        <v>0</v>
      </c>
      <c r="AW80" s="279" t="str">
        <f t="shared" si="113"/>
        <v>D</v>
      </c>
      <c r="AX80" s="279" t="str">
        <f t="shared" si="114"/>
        <v>전략P</v>
      </c>
      <c r="AY80" s="468">
        <v>0.02</v>
      </c>
      <c r="AZ80" s="468"/>
      <c r="BA80" s="279" t="s">
        <v>1747</v>
      </c>
      <c r="BB80" s="279" t="s">
        <v>1635</v>
      </c>
      <c r="BC80" s="279"/>
      <c r="BD80" s="279" t="s">
        <v>1184</v>
      </c>
      <c r="BE80" s="279" t="str">
        <f t="shared" ref="BE80:BE148" si="149">M80</f>
        <v>제네시스</v>
      </c>
      <c r="BF80" s="581">
        <v>4.1000000000000002E-2</v>
      </c>
      <c r="BG80" s="281">
        <v>88000</v>
      </c>
      <c r="BH80" s="281">
        <v>337000</v>
      </c>
      <c r="BI80" s="279"/>
      <c r="BJ80" s="279"/>
      <c r="BK80" s="279"/>
      <c r="BL80" s="279"/>
      <c r="BM80" s="279" t="s">
        <v>1547</v>
      </c>
      <c r="BN80" s="279"/>
      <c r="BO80" s="279"/>
      <c r="BP80" s="500">
        <f t="shared" si="147"/>
        <v>6.2E-2</v>
      </c>
      <c r="BQ80" s="973">
        <f t="shared" si="148"/>
        <v>5.5E-2</v>
      </c>
    </row>
    <row r="81" spans="1:69" s="460" customFormat="1" ht="15" customHeight="1">
      <c r="A81" s="281">
        <v>69</v>
      </c>
      <c r="B81" s="279">
        <v>401687638</v>
      </c>
      <c r="C81" s="279" t="s">
        <v>472</v>
      </c>
      <c r="D81" s="279" t="s">
        <v>473</v>
      </c>
      <c r="E81" s="279" t="s">
        <v>482</v>
      </c>
      <c r="F81" s="279" t="s">
        <v>474</v>
      </c>
      <c r="G81" s="279">
        <v>102300000</v>
      </c>
      <c r="H81" s="279">
        <v>3470</v>
      </c>
      <c r="I81" s="279">
        <v>0</v>
      </c>
      <c r="J81" s="279">
        <v>4</v>
      </c>
      <c r="K81" s="279" t="s">
        <v>475</v>
      </c>
      <c r="L81" s="279">
        <v>0</v>
      </c>
      <c r="M81" s="279" t="s">
        <v>98</v>
      </c>
      <c r="N81" s="279" t="s">
        <v>544</v>
      </c>
      <c r="O81" s="279" t="s">
        <v>109</v>
      </c>
      <c r="P81" s="279" t="s">
        <v>109</v>
      </c>
      <c r="Q81" s="279" t="s">
        <v>1351</v>
      </c>
      <c r="R81" s="279" t="s">
        <v>951</v>
      </c>
      <c r="S81" s="279">
        <v>73</v>
      </c>
      <c r="T81" s="279">
        <v>9</v>
      </c>
      <c r="U81" s="279" t="s">
        <v>572</v>
      </c>
      <c r="V81" s="279" t="s">
        <v>572</v>
      </c>
      <c r="W81" s="279" t="s">
        <v>473</v>
      </c>
      <c r="X81" s="279" t="s">
        <v>484</v>
      </c>
      <c r="Y81" s="279"/>
      <c r="Z81" s="279"/>
      <c r="AA81" s="279"/>
      <c r="AB81" s="282" t="s">
        <v>486</v>
      </c>
      <c r="AC81" s="279" t="s">
        <v>1359</v>
      </c>
      <c r="AD81" s="279" t="s">
        <v>491</v>
      </c>
      <c r="AE81" s="279">
        <v>87638</v>
      </c>
      <c r="AF81" s="279" t="s">
        <v>473</v>
      </c>
      <c r="AG81" s="279"/>
      <c r="AH81" s="279"/>
      <c r="AI81" s="279">
        <v>20240326</v>
      </c>
      <c r="AJ81" s="462" t="s">
        <v>1153</v>
      </c>
      <c r="AK81" s="279"/>
      <c r="AL81" s="279" t="str">
        <f>IF(AB81="Y","단종모델",LEFT(N81,3)&amp;IFERROR(VLOOKUP(LEFT(N81,3)&amp;P81,#REF!,2,0),""))</f>
        <v>GNS</v>
      </c>
      <c r="AM81" s="469" t="str">
        <f t="shared" si="131"/>
        <v>G90  가솔린 터보 3.5 2WD (4인승)</v>
      </c>
      <c r="AN81" s="279">
        <f t="shared" si="125"/>
        <v>102300000</v>
      </c>
      <c r="AO81" s="279">
        <f t="shared" si="126"/>
        <v>3470</v>
      </c>
      <c r="AP81" s="279" t="str">
        <f t="shared" si="127"/>
        <v>M</v>
      </c>
      <c r="AQ81" s="279">
        <f t="shared" si="128"/>
        <v>4</v>
      </c>
      <c r="AR81" s="279" t="str">
        <f t="shared" si="129"/>
        <v>승용</v>
      </c>
      <c r="AS81" s="279" t="str">
        <f t="shared" si="130"/>
        <v>승용</v>
      </c>
      <c r="AT81" s="279" t="str">
        <f t="shared" si="111"/>
        <v>6급</v>
      </c>
      <c r="AU81" s="279" t="str">
        <f t="shared" si="112"/>
        <v>03:울산대형</v>
      </c>
      <c r="AV81" s="279">
        <f t="shared" si="11"/>
        <v>0</v>
      </c>
      <c r="AW81" s="279" t="str">
        <f t="shared" si="113"/>
        <v>D</v>
      </c>
      <c r="AX81" s="279" t="str">
        <f t="shared" si="114"/>
        <v>전략P</v>
      </c>
      <c r="AY81" s="468">
        <v>0.02</v>
      </c>
      <c r="AZ81" s="468"/>
      <c r="BA81" s="279" t="s">
        <v>822</v>
      </c>
      <c r="BB81" s="279" t="s">
        <v>1635</v>
      </c>
      <c r="BC81" s="279"/>
      <c r="BD81" s="279" t="s">
        <v>1184</v>
      </c>
      <c r="BE81" s="279" t="str">
        <f t="shared" si="149"/>
        <v>제네시스</v>
      </c>
      <c r="BF81" s="581">
        <v>4.1000000000000002E-2</v>
      </c>
      <c r="BG81" s="281">
        <v>88000</v>
      </c>
      <c r="BH81" s="281">
        <v>337000</v>
      </c>
      <c r="BI81" s="279"/>
      <c r="BJ81" s="279"/>
      <c r="BK81" s="279"/>
      <c r="BL81" s="279"/>
      <c r="BM81" s="279" t="s">
        <v>1547</v>
      </c>
      <c r="BN81" s="279"/>
      <c r="BO81" s="279"/>
      <c r="BP81" s="500">
        <f t="shared" si="147"/>
        <v>6.2E-2</v>
      </c>
      <c r="BQ81" s="973">
        <f t="shared" si="148"/>
        <v>5.5E-2</v>
      </c>
    </row>
    <row r="82" spans="1:69" s="460" customFormat="1" ht="15" customHeight="1">
      <c r="A82" s="281">
        <v>70</v>
      </c>
      <c r="B82" s="279">
        <v>401687637</v>
      </c>
      <c r="C82" s="279" t="s">
        <v>472</v>
      </c>
      <c r="D82" s="279" t="s">
        <v>473</v>
      </c>
      <c r="E82" s="279" t="s">
        <v>482</v>
      </c>
      <c r="F82" s="279" t="s">
        <v>474</v>
      </c>
      <c r="G82" s="279">
        <v>98900000</v>
      </c>
      <c r="H82" s="279">
        <v>3470</v>
      </c>
      <c r="I82" s="279">
        <v>0</v>
      </c>
      <c r="J82" s="279">
        <v>5</v>
      </c>
      <c r="K82" s="279" t="s">
        <v>475</v>
      </c>
      <c r="L82" s="279">
        <v>0</v>
      </c>
      <c r="M82" s="279" t="s">
        <v>98</v>
      </c>
      <c r="N82" s="279" t="s">
        <v>544</v>
      </c>
      <c r="O82" s="279" t="s">
        <v>109</v>
      </c>
      <c r="P82" s="279" t="s">
        <v>109</v>
      </c>
      <c r="Q82" s="279" t="s">
        <v>1351</v>
      </c>
      <c r="R82" s="279" t="s">
        <v>547</v>
      </c>
      <c r="S82" s="279">
        <v>73</v>
      </c>
      <c r="T82" s="279">
        <v>8.5</v>
      </c>
      <c r="U82" s="279" t="s">
        <v>572</v>
      </c>
      <c r="V82" s="279" t="s">
        <v>572</v>
      </c>
      <c r="W82" s="279" t="s">
        <v>473</v>
      </c>
      <c r="X82" s="279" t="s">
        <v>484</v>
      </c>
      <c r="Y82" s="279"/>
      <c r="Z82" s="279"/>
      <c r="AA82" s="279"/>
      <c r="AB82" s="282" t="s">
        <v>486</v>
      </c>
      <c r="AC82" s="279" t="s">
        <v>1359</v>
      </c>
      <c r="AD82" s="279" t="s">
        <v>491</v>
      </c>
      <c r="AE82" s="279">
        <v>87637</v>
      </c>
      <c r="AF82" s="279" t="s">
        <v>473</v>
      </c>
      <c r="AG82" s="279"/>
      <c r="AH82" s="279"/>
      <c r="AI82" s="279">
        <v>20240326</v>
      </c>
      <c r="AJ82" s="462" t="s">
        <v>1153</v>
      </c>
      <c r="AK82" s="279"/>
      <c r="AL82" s="279" t="str">
        <f>IF(AB82="Y","단종모델",LEFT(N82,3)&amp;IFERROR(VLOOKUP(LEFT(N82,3)&amp;P82,#REF!,2,0),""))</f>
        <v>GNS</v>
      </c>
      <c r="AM82" s="469" t="str">
        <f t="shared" si="131"/>
        <v>G90  가솔린 터보 3.5 AWD (5인승)</v>
      </c>
      <c r="AN82" s="279">
        <f t="shared" si="125"/>
        <v>98900000</v>
      </c>
      <c r="AO82" s="279">
        <f t="shared" si="126"/>
        <v>3470</v>
      </c>
      <c r="AP82" s="279" t="str">
        <f t="shared" si="127"/>
        <v>M</v>
      </c>
      <c r="AQ82" s="279">
        <f t="shared" si="128"/>
        <v>5</v>
      </c>
      <c r="AR82" s="279" t="str">
        <f t="shared" si="129"/>
        <v>승용</v>
      </c>
      <c r="AS82" s="279" t="str">
        <f t="shared" si="130"/>
        <v>승용</v>
      </c>
      <c r="AT82" s="279" t="str">
        <f t="shared" si="111"/>
        <v>6급</v>
      </c>
      <c r="AU82" s="279" t="str">
        <f t="shared" si="112"/>
        <v>03:울산대형</v>
      </c>
      <c r="AV82" s="279">
        <f t="shared" ref="AV82:AV152" si="150">IF(AND(BE82="기아",AQ82&lt;7),1900,IF(AND(BE82="기아",AQ82&gt;6,AQ82&lt;11),2500,IF(AND(BE82="기아",AQ82&gt;10),3500,IF(AND(BE82="KG모빌리티",AQ82&lt;7),3650,IF(AND(BE82="KG모빌리티",AQ82&gt;6),4300,0)))))</f>
        <v>0</v>
      </c>
      <c r="AW82" s="279" t="str">
        <f t="shared" si="113"/>
        <v>D</v>
      </c>
      <c r="AX82" s="279" t="str">
        <f t="shared" si="114"/>
        <v>전략P</v>
      </c>
      <c r="AY82" s="468">
        <v>0.02</v>
      </c>
      <c r="AZ82" s="468"/>
      <c r="BA82" s="279" t="s">
        <v>822</v>
      </c>
      <c r="BB82" s="279" t="s">
        <v>1635</v>
      </c>
      <c r="BC82" s="279"/>
      <c r="BD82" s="279" t="s">
        <v>1184</v>
      </c>
      <c r="BE82" s="279" t="str">
        <f t="shared" si="149"/>
        <v>제네시스</v>
      </c>
      <c r="BF82" s="581">
        <v>4.1000000000000002E-2</v>
      </c>
      <c r="BG82" s="281">
        <v>88000</v>
      </c>
      <c r="BH82" s="281">
        <v>337000</v>
      </c>
      <c r="BI82" s="279"/>
      <c r="BJ82" s="279"/>
      <c r="BK82" s="279"/>
      <c r="BL82" s="279"/>
      <c r="BM82" s="279" t="s">
        <v>1547</v>
      </c>
      <c r="BN82" s="279"/>
      <c r="BO82" s="279"/>
      <c r="BP82" s="500">
        <f t="shared" si="147"/>
        <v>6.2E-2</v>
      </c>
      <c r="BQ82" s="973">
        <f t="shared" si="148"/>
        <v>5.5E-2</v>
      </c>
    </row>
    <row r="83" spans="1:69" s="460" customFormat="1" ht="15" customHeight="1">
      <c r="A83" s="281">
        <v>71</v>
      </c>
      <c r="B83" s="279">
        <v>401687639</v>
      </c>
      <c r="C83" s="279" t="s">
        <v>472</v>
      </c>
      <c r="D83" s="279" t="s">
        <v>473</v>
      </c>
      <c r="E83" s="279" t="s">
        <v>482</v>
      </c>
      <c r="F83" s="279" t="s">
        <v>474</v>
      </c>
      <c r="G83" s="279">
        <v>105800000</v>
      </c>
      <c r="H83" s="279">
        <v>3470</v>
      </c>
      <c r="I83" s="279">
        <v>0</v>
      </c>
      <c r="J83" s="279">
        <v>4</v>
      </c>
      <c r="K83" s="279" t="s">
        <v>475</v>
      </c>
      <c r="L83" s="279">
        <v>0</v>
      </c>
      <c r="M83" s="279" t="s">
        <v>98</v>
      </c>
      <c r="N83" s="279" t="s">
        <v>544</v>
      </c>
      <c r="O83" s="279" t="s">
        <v>109</v>
      </c>
      <c r="P83" s="279" t="s">
        <v>109</v>
      </c>
      <c r="Q83" s="279" t="s">
        <v>1351</v>
      </c>
      <c r="R83" s="279" t="s">
        <v>952</v>
      </c>
      <c r="S83" s="279">
        <v>73</v>
      </c>
      <c r="T83" s="279">
        <v>8.5</v>
      </c>
      <c r="U83" s="279" t="s">
        <v>572</v>
      </c>
      <c r="V83" s="279" t="s">
        <v>572</v>
      </c>
      <c r="W83" s="279" t="s">
        <v>473</v>
      </c>
      <c r="X83" s="279" t="s">
        <v>484</v>
      </c>
      <c r="Y83" s="279"/>
      <c r="Z83" s="279"/>
      <c r="AA83" s="279"/>
      <c r="AB83" s="282" t="s">
        <v>486</v>
      </c>
      <c r="AC83" s="279" t="s">
        <v>1359</v>
      </c>
      <c r="AD83" s="279" t="s">
        <v>491</v>
      </c>
      <c r="AE83" s="279">
        <v>87639</v>
      </c>
      <c r="AF83" s="279" t="s">
        <v>473</v>
      </c>
      <c r="AG83" s="279"/>
      <c r="AH83" s="279"/>
      <c r="AI83" s="279">
        <v>20240326</v>
      </c>
      <c r="AJ83" s="462" t="s">
        <v>1153</v>
      </c>
      <c r="AK83" s="279"/>
      <c r="AL83" s="279" t="str">
        <f>IF(AB83="Y","단종모델",LEFT(N83,3)&amp;IFERROR(VLOOKUP(LEFT(N83,3)&amp;P83,#REF!,2,0),""))</f>
        <v>GNS</v>
      </c>
      <c r="AM83" s="469" t="str">
        <f t="shared" si="131"/>
        <v>G90  가솔린 터보 3.5 AWD (4인승)</v>
      </c>
      <c r="AN83" s="279">
        <f t="shared" si="125"/>
        <v>105800000</v>
      </c>
      <c r="AO83" s="279">
        <f t="shared" si="126"/>
        <v>3470</v>
      </c>
      <c r="AP83" s="279" t="str">
        <f t="shared" si="127"/>
        <v>M</v>
      </c>
      <c r="AQ83" s="279">
        <f t="shared" si="128"/>
        <v>4</v>
      </c>
      <c r="AR83" s="279" t="str">
        <f t="shared" si="129"/>
        <v>승용</v>
      </c>
      <c r="AS83" s="279" t="str">
        <f t="shared" si="130"/>
        <v>승용</v>
      </c>
      <c r="AT83" s="279" t="str">
        <f t="shared" si="111"/>
        <v>6급</v>
      </c>
      <c r="AU83" s="279" t="str">
        <f t="shared" si="112"/>
        <v>03:울산대형</v>
      </c>
      <c r="AV83" s="279">
        <f t="shared" si="150"/>
        <v>0</v>
      </c>
      <c r="AW83" s="279" t="str">
        <f t="shared" si="113"/>
        <v>D</v>
      </c>
      <c r="AX83" s="279" t="str">
        <f t="shared" si="114"/>
        <v>전략P</v>
      </c>
      <c r="AY83" s="468">
        <v>0.02</v>
      </c>
      <c r="AZ83" s="468"/>
      <c r="BA83" s="279" t="s">
        <v>822</v>
      </c>
      <c r="BB83" s="279" t="s">
        <v>1635</v>
      </c>
      <c r="BC83" s="279"/>
      <c r="BD83" s="279" t="s">
        <v>1184</v>
      </c>
      <c r="BE83" s="279" t="str">
        <f t="shared" si="149"/>
        <v>제네시스</v>
      </c>
      <c r="BF83" s="581">
        <v>4.1000000000000002E-2</v>
      </c>
      <c r="BG83" s="281">
        <v>88000</v>
      </c>
      <c r="BH83" s="281">
        <v>337000</v>
      </c>
      <c r="BI83" s="279"/>
      <c r="BJ83" s="279"/>
      <c r="BK83" s="279"/>
      <c r="BL83" s="279"/>
      <c r="BM83" s="279" t="s">
        <v>1547</v>
      </c>
      <c r="BN83" s="279"/>
      <c r="BO83" s="279"/>
      <c r="BP83" s="500">
        <f t="shared" si="147"/>
        <v>6.2E-2</v>
      </c>
      <c r="BQ83" s="973">
        <f t="shared" si="148"/>
        <v>5.5E-2</v>
      </c>
    </row>
    <row r="84" spans="1:69" s="460" customFormat="1" ht="15" customHeight="1">
      <c r="A84" s="281">
        <v>72</v>
      </c>
      <c r="B84" s="279">
        <v>401687650</v>
      </c>
      <c r="C84" s="279" t="s">
        <v>472</v>
      </c>
      <c r="D84" s="279" t="s">
        <v>473</v>
      </c>
      <c r="E84" s="279" t="s">
        <v>482</v>
      </c>
      <c r="F84" s="279" t="s">
        <v>474</v>
      </c>
      <c r="G84" s="279">
        <v>167200000</v>
      </c>
      <c r="H84" s="279">
        <v>3470</v>
      </c>
      <c r="I84" s="279">
        <v>0</v>
      </c>
      <c r="J84" s="279">
        <v>5</v>
      </c>
      <c r="K84" s="279" t="s">
        <v>475</v>
      </c>
      <c r="L84" s="279">
        <v>0</v>
      </c>
      <c r="M84" s="279" t="s">
        <v>98</v>
      </c>
      <c r="N84" s="279" t="s">
        <v>544</v>
      </c>
      <c r="O84" s="279" t="s">
        <v>109</v>
      </c>
      <c r="P84" s="279" t="s">
        <v>109</v>
      </c>
      <c r="Q84" s="279" t="s">
        <v>1351</v>
      </c>
      <c r="R84" s="279" t="s">
        <v>1352</v>
      </c>
      <c r="S84" s="279">
        <v>73</v>
      </c>
      <c r="T84" s="279">
        <v>8.1999999999999993</v>
      </c>
      <c r="U84" s="279" t="s">
        <v>573</v>
      </c>
      <c r="V84" s="279" t="s">
        <v>574</v>
      </c>
      <c r="W84" s="279" t="s">
        <v>473</v>
      </c>
      <c r="X84" s="279" t="s">
        <v>484</v>
      </c>
      <c r="Y84" s="279"/>
      <c r="Z84" s="279"/>
      <c r="AA84" s="279"/>
      <c r="AB84" s="282" t="s">
        <v>486</v>
      </c>
      <c r="AC84" s="279" t="s">
        <v>1359</v>
      </c>
      <c r="AD84" s="279" t="s">
        <v>491</v>
      </c>
      <c r="AE84" s="279">
        <v>87650</v>
      </c>
      <c r="AF84" s="279" t="s">
        <v>473</v>
      </c>
      <c r="AG84" s="279"/>
      <c r="AH84" s="279"/>
      <c r="AI84" s="279">
        <v>20240326</v>
      </c>
      <c r="AJ84" s="462" t="s">
        <v>1153</v>
      </c>
      <c r="AK84" s="279"/>
      <c r="AL84" s="279" t="str">
        <f>IF(AB84="Y","단종모델",LEFT(N84,3)&amp;IFERROR(VLOOKUP(LEFT(N84,3)&amp;P84,#REF!,2,0),""))</f>
        <v>GNS</v>
      </c>
      <c r="AM84" s="469" t="str">
        <f t="shared" si="131"/>
        <v>G90  가솔린 터보 3.5 롱휠베이스 AWD (5인승)</v>
      </c>
      <c r="AN84" s="279">
        <f t="shared" si="125"/>
        <v>167200000</v>
      </c>
      <c r="AO84" s="279">
        <f t="shared" si="126"/>
        <v>3470</v>
      </c>
      <c r="AP84" s="279" t="str">
        <f t="shared" si="127"/>
        <v>M</v>
      </c>
      <c r="AQ84" s="279">
        <f t="shared" si="128"/>
        <v>5</v>
      </c>
      <c r="AR84" s="279" t="str">
        <f t="shared" si="129"/>
        <v>승용</v>
      </c>
      <c r="AS84" s="279" t="str">
        <f t="shared" si="130"/>
        <v>승용</v>
      </c>
      <c r="AT84" s="279" t="str">
        <f t="shared" si="111"/>
        <v>6급</v>
      </c>
      <c r="AU84" s="279" t="str">
        <f t="shared" si="112"/>
        <v>03:울산대형</v>
      </c>
      <c r="AV84" s="279">
        <f t="shared" si="150"/>
        <v>0</v>
      </c>
      <c r="AW84" s="279" t="str">
        <f t="shared" si="113"/>
        <v>D</v>
      </c>
      <c r="AX84" s="279" t="str">
        <f t="shared" si="114"/>
        <v>전략P</v>
      </c>
      <c r="AY84" s="468">
        <v>0.02</v>
      </c>
      <c r="AZ84" s="468"/>
      <c r="BA84" s="279" t="s">
        <v>1691</v>
      </c>
      <c r="BB84" s="279" t="s">
        <v>1557</v>
      </c>
      <c r="BC84" s="279"/>
      <c r="BD84" s="279" t="s">
        <v>1184</v>
      </c>
      <c r="BE84" s="279" t="str">
        <f t="shared" si="149"/>
        <v>제네시스</v>
      </c>
      <c r="BF84" s="581">
        <v>4.1000000000000002E-2</v>
      </c>
      <c r="BG84" s="281">
        <v>88000</v>
      </c>
      <c r="BH84" s="281">
        <v>337000</v>
      </c>
      <c r="BI84" s="279"/>
      <c r="BJ84" s="279"/>
      <c r="BK84" s="279"/>
      <c r="BL84" s="279"/>
      <c r="BM84" s="279" t="s">
        <v>1547</v>
      </c>
      <c r="BN84" s="279"/>
      <c r="BO84" s="279"/>
      <c r="BP84" s="500">
        <f t="shared" si="147"/>
        <v>6.2E-2</v>
      </c>
      <c r="BQ84" s="973">
        <f t="shared" si="148"/>
        <v>5.5E-2</v>
      </c>
    </row>
    <row r="85" spans="1:69" s="460" customFormat="1" ht="15" customHeight="1">
      <c r="A85" s="281">
        <v>73</v>
      </c>
      <c r="B85" s="279">
        <v>401687651</v>
      </c>
      <c r="C85" s="279" t="s">
        <v>472</v>
      </c>
      <c r="D85" s="279" t="s">
        <v>473</v>
      </c>
      <c r="E85" s="279" t="s">
        <v>482</v>
      </c>
      <c r="F85" s="279" t="s">
        <v>474</v>
      </c>
      <c r="G85" s="279">
        <v>176100000</v>
      </c>
      <c r="H85" s="279">
        <v>3470</v>
      </c>
      <c r="I85" s="279">
        <v>0</v>
      </c>
      <c r="J85" s="279">
        <v>4</v>
      </c>
      <c r="K85" s="279" t="s">
        <v>475</v>
      </c>
      <c r="L85" s="279">
        <v>0</v>
      </c>
      <c r="M85" s="279" t="s">
        <v>98</v>
      </c>
      <c r="N85" s="279" t="s">
        <v>544</v>
      </c>
      <c r="O85" s="279" t="s">
        <v>109</v>
      </c>
      <c r="P85" s="279" t="s">
        <v>109</v>
      </c>
      <c r="Q85" s="279" t="s">
        <v>1351</v>
      </c>
      <c r="R85" s="279" t="s">
        <v>1353</v>
      </c>
      <c r="S85" s="279">
        <v>73</v>
      </c>
      <c r="T85" s="279">
        <v>8.1999999999999993</v>
      </c>
      <c r="U85" s="279" t="s">
        <v>573</v>
      </c>
      <c r="V85" s="279" t="s">
        <v>574</v>
      </c>
      <c r="W85" s="279" t="s">
        <v>473</v>
      </c>
      <c r="X85" s="279" t="s">
        <v>484</v>
      </c>
      <c r="Y85" s="279"/>
      <c r="Z85" s="279"/>
      <c r="AA85" s="279"/>
      <c r="AB85" s="282" t="s">
        <v>486</v>
      </c>
      <c r="AC85" s="279" t="s">
        <v>1359</v>
      </c>
      <c r="AD85" s="279" t="s">
        <v>491</v>
      </c>
      <c r="AE85" s="279">
        <v>87651</v>
      </c>
      <c r="AF85" s="279" t="s">
        <v>473</v>
      </c>
      <c r="AG85" s="279"/>
      <c r="AH85" s="279"/>
      <c r="AI85" s="279">
        <v>20240326</v>
      </c>
      <c r="AJ85" s="462" t="s">
        <v>1153</v>
      </c>
      <c r="AK85" s="279"/>
      <c r="AL85" s="279" t="str">
        <f>IF(AB85="Y","단종모델",LEFT(N85,3)&amp;IFERROR(VLOOKUP(LEFT(N85,3)&amp;P85,#REF!,2,0),""))</f>
        <v>GNS</v>
      </c>
      <c r="AM85" s="469" t="str">
        <f t="shared" si="131"/>
        <v>G90  가솔린 터보 3.5 롱휠베이스 AWD (4인승)</v>
      </c>
      <c r="AN85" s="279">
        <f t="shared" si="125"/>
        <v>176100000</v>
      </c>
      <c r="AO85" s="279">
        <f t="shared" si="126"/>
        <v>3470</v>
      </c>
      <c r="AP85" s="279" t="str">
        <f t="shared" si="127"/>
        <v>M</v>
      </c>
      <c r="AQ85" s="279">
        <f t="shared" si="128"/>
        <v>4</v>
      </c>
      <c r="AR85" s="279" t="str">
        <f t="shared" si="129"/>
        <v>승용</v>
      </c>
      <c r="AS85" s="279" t="str">
        <f t="shared" si="130"/>
        <v>승용</v>
      </c>
      <c r="AT85" s="279" t="str">
        <f t="shared" si="111"/>
        <v>6급</v>
      </c>
      <c r="AU85" s="279" t="str">
        <f t="shared" si="112"/>
        <v>03:울산대형</v>
      </c>
      <c r="AV85" s="279">
        <f t="shared" si="150"/>
        <v>0</v>
      </c>
      <c r="AW85" s="279" t="str">
        <f t="shared" si="113"/>
        <v>D</v>
      </c>
      <c r="AX85" s="279" t="str">
        <f t="shared" si="114"/>
        <v>전략P</v>
      </c>
      <c r="AY85" s="468">
        <v>0.02</v>
      </c>
      <c r="AZ85" s="468"/>
      <c r="BA85" s="279" t="s">
        <v>1691</v>
      </c>
      <c r="BB85" s="279" t="s">
        <v>1557</v>
      </c>
      <c r="BC85" s="279"/>
      <c r="BD85" s="279" t="s">
        <v>1184</v>
      </c>
      <c r="BE85" s="279" t="str">
        <f t="shared" si="149"/>
        <v>제네시스</v>
      </c>
      <c r="BF85" s="581">
        <v>4.1000000000000002E-2</v>
      </c>
      <c r="BG85" s="281">
        <v>88000</v>
      </c>
      <c r="BH85" s="281">
        <v>337000</v>
      </c>
      <c r="BI85" s="279"/>
      <c r="BJ85" s="279"/>
      <c r="BK85" s="279"/>
      <c r="BL85" s="279"/>
      <c r="BM85" s="279" t="s">
        <v>1547</v>
      </c>
      <c r="BN85" s="279"/>
      <c r="BO85" s="279"/>
      <c r="BP85" s="500">
        <f t="shared" si="147"/>
        <v>6.2E-2</v>
      </c>
      <c r="BQ85" s="973">
        <f t="shared" si="148"/>
        <v>5.5E-2</v>
      </c>
    </row>
    <row r="86" spans="1:69" s="460" customFormat="1" ht="15" customHeight="1">
      <c r="A86" s="281">
        <v>74</v>
      </c>
      <c r="B86" s="279">
        <v>401687646</v>
      </c>
      <c r="C86" s="279" t="s">
        <v>472</v>
      </c>
      <c r="D86" s="279" t="s">
        <v>473</v>
      </c>
      <c r="E86" s="279" t="s">
        <v>482</v>
      </c>
      <c r="F86" s="279" t="s">
        <v>474</v>
      </c>
      <c r="G86" s="279">
        <v>101400000</v>
      </c>
      <c r="H86" s="279">
        <v>3470</v>
      </c>
      <c r="I86" s="279">
        <v>0</v>
      </c>
      <c r="J86" s="279">
        <v>5</v>
      </c>
      <c r="K86" s="279" t="s">
        <v>475</v>
      </c>
      <c r="L86" s="279">
        <v>0</v>
      </c>
      <c r="M86" s="279" t="s">
        <v>98</v>
      </c>
      <c r="N86" s="279" t="s">
        <v>544</v>
      </c>
      <c r="O86" s="279" t="s">
        <v>109</v>
      </c>
      <c r="P86" s="279" t="s">
        <v>109</v>
      </c>
      <c r="Q86" s="279" t="s">
        <v>1354</v>
      </c>
      <c r="R86" s="279" t="s">
        <v>545</v>
      </c>
      <c r="S86" s="279">
        <v>73</v>
      </c>
      <c r="T86" s="279">
        <v>9.1</v>
      </c>
      <c r="U86" s="279" t="s">
        <v>573</v>
      </c>
      <c r="V86" s="279" t="s">
        <v>574</v>
      </c>
      <c r="W86" s="279" t="s">
        <v>473</v>
      </c>
      <c r="X86" s="279" t="s">
        <v>484</v>
      </c>
      <c r="Y86" s="279"/>
      <c r="Z86" s="279"/>
      <c r="AA86" s="279"/>
      <c r="AB86" s="279" t="s">
        <v>486</v>
      </c>
      <c r="AC86" s="279" t="s">
        <v>1359</v>
      </c>
      <c r="AD86" s="279" t="s">
        <v>491</v>
      </c>
      <c r="AE86" s="279">
        <v>87646</v>
      </c>
      <c r="AF86" s="279" t="s">
        <v>473</v>
      </c>
      <c r="AG86" s="279"/>
      <c r="AH86" s="279"/>
      <c r="AI86" s="279">
        <v>20240326</v>
      </c>
      <c r="AJ86" s="462" t="s">
        <v>1153</v>
      </c>
      <c r="AK86" s="279"/>
      <c r="AL86" s="279" t="str">
        <f>IF(AB86="Y","단종모델",LEFT(N86,3)&amp;IFERROR(VLOOKUP(LEFT(N86,3)&amp;P86,#REF!,2,0),""))</f>
        <v>GNS</v>
      </c>
      <c r="AM86" s="469" t="str">
        <f t="shared" si="131"/>
        <v>G90  가솔린 터보 3.5-48V 일렉트릭 슈퍼차저 2WD (5인승)</v>
      </c>
      <c r="AN86" s="279">
        <f t="shared" si="125"/>
        <v>101400000</v>
      </c>
      <c r="AO86" s="279">
        <f t="shared" si="126"/>
        <v>3470</v>
      </c>
      <c r="AP86" s="279" t="str">
        <f t="shared" si="127"/>
        <v>M</v>
      </c>
      <c r="AQ86" s="279">
        <f t="shared" si="128"/>
        <v>5</v>
      </c>
      <c r="AR86" s="279" t="str">
        <f t="shared" si="129"/>
        <v>승용</v>
      </c>
      <c r="AS86" s="279" t="str">
        <f t="shared" si="130"/>
        <v>승용</v>
      </c>
      <c r="AT86" s="279" t="str">
        <f t="shared" si="111"/>
        <v>6급</v>
      </c>
      <c r="AU86" s="279" t="str">
        <f t="shared" si="112"/>
        <v>03:울산대형</v>
      </c>
      <c r="AV86" s="279">
        <f t="shared" si="150"/>
        <v>0</v>
      </c>
      <c r="AW86" s="279" t="str">
        <f t="shared" si="113"/>
        <v>D</v>
      </c>
      <c r="AX86" s="279" t="str">
        <f t="shared" si="114"/>
        <v>전략P</v>
      </c>
      <c r="AY86" s="468">
        <v>0.02</v>
      </c>
      <c r="AZ86" s="468"/>
      <c r="BA86" s="279" t="s">
        <v>1791</v>
      </c>
      <c r="BB86" s="279" t="s">
        <v>1635</v>
      </c>
      <c r="BC86" s="279"/>
      <c r="BD86" s="279" t="s">
        <v>1184</v>
      </c>
      <c r="BE86" s="279" t="str">
        <f t="shared" si="149"/>
        <v>제네시스</v>
      </c>
      <c r="BF86" s="581">
        <v>4.1000000000000002E-2</v>
      </c>
      <c r="BG86" s="281">
        <v>88000</v>
      </c>
      <c r="BH86" s="281">
        <v>337000</v>
      </c>
      <c r="BI86" s="279"/>
      <c r="BJ86" s="279"/>
      <c r="BK86" s="279"/>
      <c r="BL86" s="279"/>
      <c r="BM86" s="279" t="s">
        <v>1547</v>
      </c>
      <c r="BN86" s="279"/>
      <c r="BO86" s="279"/>
      <c r="BP86" s="500">
        <f t="shared" si="147"/>
        <v>6.2E-2</v>
      </c>
      <c r="BQ86" s="973">
        <f t="shared" si="148"/>
        <v>5.5E-2</v>
      </c>
    </row>
    <row r="87" spans="1:69" s="460" customFormat="1" ht="15" customHeight="1">
      <c r="A87" s="281">
        <v>75</v>
      </c>
      <c r="B87" s="279">
        <v>401687648</v>
      </c>
      <c r="C87" s="279" t="s">
        <v>472</v>
      </c>
      <c r="D87" s="279" t="s">
        <v>473</v>
      </c>
      <c r="E87" s="279" t="s">
        <v>482</v>
      </c>
      <c r="F87" s="279" t="s">
        <v>474</v>
      </c>
      <c r="G87" s="279">
        <v>108300000</v>
      </c>
      <c r="H87" s="279">
        <v>3470</v>
      </c>
      <c r="I87" s="279">
        <v>0</v>
      </c>
      <c r="J87" s="279">
        <v>4</v>
      </c>
      <c r="K87" s="279" t="s">
        <v>475</v>
      </c>
      <c r="L87" s="279">
        <v>0</v>
      </c>
      <c r="M87" s="279" t="s">
        <v>98</v>
      </c>
      <c r="N87" s="279" t="s">
        <v>544</v>
      </c>
      <c r="O87" s="279" t="s">
        <v>109</v>
      </c>
      <c r="P87" s="279" t="s">
        <v>109</v>
      </c>
      <c r="Q87" s="279" t="s">
        <v>1354</v>
      </c>
      <c r="R87" s="279" t="s">
        <v>951</v>
      </c>
      <c r="S87" s="279">
        <v>73</v>
      </c>
      <c r="T87" s="279">
        <v>9.1</v>
      </c>
      <c r="U87" s="279" t="s">
        <v>573</v>
      </c>
      <c r="V87" s="279" t="s">
        <v>574</v>
      </c>
      <c r="W87" s="279" t="s">
        <v>473</v>
      </c>
      <c r="X87" s="279" t="s">
        <v>484</v>
      </c>
      <c r="Y87" s="279"/>
      <c r="Z87" s="279"/>
      <c r="AA87" s="279"/>
      <c r="AB87" s="279" t="s">
        <v>486</v>
      </c>
      <c r="AC87" s="279" t="s">
        <v>1359</v>
      </c>
      <c r="AD87" s="279" t="s">
        <v>491</v>
      </c>
      <c r="AE87" s="279">
        <v>87648</v>
      </c>
      <c r="AF87" s="279" t="s">
        <v>473</v>
      </c>
      <c r="AG87" s="279"/>
      <c r="AH87" s="279"/>
      <c r="AI87" s="279">
        <v>20240326</v>
      </c>
      <c r="AJ87" s="462" t="s">
        <v>1153</v>
      </c>
      <c r="AK87" s="279"/>
      <c r="AL87" s="279" t="str">
        <f>IF(AB87="Y","단종모델",LEFT(N87,3)&amp;IFERROR(VLOOKUP(LEFT(N87,3)&amp;P87,#REF!,2,0),""))</f>
        <v>GNS</v>
      </c>
      <c r="AM87" s="469" t="str">
        <f t="shared" si="131"/>
        <v>G90  가솔린 터보 3.5-48V 일렉트릭 슈퍼차저 2WD (4인승)</v>
      </c>
      <c r="AN87" s="279">
        <f t="shared" si="125"/>
        <v>108300000</v>
      </c>
      <c r="AO87" s="279">
        <f t="shared" si="126"/>
        <v>3470</v>
      </c>
      <c r="AP87" s="279" t="str">
        <f t="shared" si="127"/>
        <v>M</v>
      </c>
      <c r="AQ87" s="279">
        <f t="shared" si="128"/>
        <v>4</v>
      </c>
      <c r="AR87" s="279" t="str">
        <f t="shared" si="129"/>
        <v>승용</v>
      </c>
      <c r="AS87" s="279" t="str">
        <f t="shared" si="130"/>
        <v>승용</v>
      </c>
      <c r="AT87" s="279" t="str">
        <f t="shared" si="111"/>
        <v>6급</v>
      </c>
      <c r="AU87" s="279" t="str">
        <f t="shared" si="112"/>
        <v>03:울산대형</v>
      </c>
      <c r="AV87" s="279">
        <f t="shared" si="150"/>
        <v>0</v>
      </c>
      <c r="AW87" s="279" t="str">
        <f t="shared" si="113"/>
        <v>D</v>
      </c>
      <c r="AX87" s="279" t="str">
        <f t="shared" si="114"/>
        <v>전략P</v>
      </c>
      <c r="AY87" s="468">
        <v>0.02</v>
      </c>
      <c r="AZ87" s="468"/>
      <c r="BA87" s="279" t="s">
        <v>1791</v>
      </c>
      <c r="BB87" s="279" t="s">
        <v>1635</v>
      </c>
      <c r="BC87" s="279"/>
      <c r="BD87" s="279" t="s">
        <v>1184</v>
      </c>
      <c r="BE87" s="279" t="str">
        <f t="shared" si="149"/>
        <v>제네시스</v>
      </c>
      <c r="BF87" s="581">
        <v>4.1000000000000002E-2</v>
      </c>
      <c r="BG87" s="281">
        <v>88000</v>
      </c>
      <c r="BH87" s="281">
        <v>337000</v>
      </c>
      <c r="BI87" s="279"/>
      <c r="BJ87" s="279"/>
      <c r="BK87" s="279"/>
      <c r="BL87" s="279"/>
      <c r="BM87" s="279" t="s">
        <v>1547</v>
      </c>
      <c r="BN87" s="279"/>
      <c r="BO87" s="279"/>
      <c r="BP87" s="500">
        <f t="shared" si="147"/>
        <v>6.2E-2</v>
      </c>
      <c r="BQ87" s="973">
        <f t="shared" si="148"/>
        <v>5.5E-2</v>
      </c>
    </row>
    <row r="88" spans="1:69" s="460" customFormat="1" ht="15" customHeight="1">
      <c r="A88" s="281">
        <v>76</v>
      </c>
      <c r="B88" s="279">
        <v>401687647</v>
      </c>
      <c r="C88" s="279" t="s">
        <v>472</v>
      </c>
      <c r="D88" s="279" t="s">
        <v>473</v>
      </c>
      <c r="E88" s="279" t="s">
        <v>482</v>
      </c>
      <c r="F88" s="279" t="s">
        <v>474</v>
      </c>
      <c r="G88" s="279">
        <v>104900000</v>
      </c>
      <c r="H88" s="279">
        <v>3470</v>
      </c>
      <c r="I88" s="279">
        <v>0</v>
      </c>
      <c r="J88" s="279">
        <v>5</v>
      </c>
      <c r="K88" s="279" t="s">
        <v>475</v>
      </c>
      <c r="L88" s="279">
        <v>0</v>
      </c>
      <c r="M88" s="279" t="s">
        <v>98</v>
      </c>
      <c r="N88" s="279" t="s">
        <v>544</v>
      </c>
      <c r="O88" s="279" t="s">
        <v>109</v>
      </c>
      <c r="P88" s="279" t="s">
        <v>109</v>
      </c>
      <c r="Q88" s="279" t="s">
        <v>1354</v>
      </c>
      <c r="R88" s="279" t="s">
        <v>547</v>
      </c>
      <c r="S88" s="279">
        <v>73</v>
      </c>
      <c r="T88" s="279">
        <v>8.4</v>
      </c>
      <c r="U88" s="279" t="s">
        <v>573</v>
      </c>
      <c r="V88" s="279" t="s">
        <v>574</v>
      </c>
      <c r="W88" s="279" t="s">
        <v>473</v>
      </c>
      <c r="X88" s="279" t="s">
        <v>484</v>
      </c>
      <c r="Y88" s="279"/>
      <c r="Z88" s="279"/>
      <c r="AA88" s="279"/>
      <c r="AB88" s="279" t="s">
        <v>486</v>
      </c>
      <c r="AC88" s="279" t="s">
        <v>1359</v>
      </c>
      <c r="AD88" s="279" t="s">
        <v>491</v>
      </c>
      <c r="AE88" s="279">
        <v>87647</v>
      </c>
      <c r="AF88" s="279" t="s">
        <v>473</v>
      </c>
      <c r="AG88" s="279"/>
      <c r="AH88" s="279"/>
      <c r="AI88" s="279">
        <v>20240326</v>
      </c>
      <c r="AJ88" s="462" t="s">
        <v>1153</v>
      </c>
      <c r="AK88" s="279"/>
      <c r="AL88" s="279" t="str">
        <f>IF(AB88="Y","단종모델",LEFT(N88,3)&amp;IFERROR(VLOOKUP(LEFT(N88,3)&amp;P88,#REF!,2,0),""))</f>
        <v>GNS</v>
      </c>
      <c r="AM88" s="469" t="str">
        <f t="shared" si="131"/>
        <v>G90  가솔린 터보 3.5-48V 일렉트릭 슈퍼차저 AWD (5인승)</v>
      </c>
      <c r="AN88" s="279">
        <f t="shared" si="125"/>
        <v>104900000</v>
      </c>
      <c r="AO88" s="279">
        <f t="shared" si="126"/>
        <v>3470</v>
      </c>
      <c r="AP88" s="279" t="str">
        <f t="shared" si="127"/>
        <v>M</v>
      </c>
      <c r="AQ88" s="279">
        <f t="shared" si="128"/>
        <v>5</v>
      </c>
      <c r="AR88" s="279" t="str">
        <f t="shared" si="129"/>
        <v>승용</v>
      </c>
      <c r="AS88" s="279" t="str">
        <f t="shared" si="130"/>
        <v>승용</v>
      </c>
      <c r="AT88" s="279" t="str">
        <f t="shared" si="111"/>
        <v>6급</v>
      </c>
      <c r="AU88" s="279" t="str">
        <f t="shared" si="112"/>
        <v>03:울산대형</v>
      </c>
      <c r="AV88" s="279">
        <f t="shared" si="150"/>
        <v>0</v>
      </c>
      <c r="AW88" s="279" t="str">
        <f t="shared" si="113"/>
        <v>D</v>
      </c>
      <c r="AX88" s="279" t="str">
        <f t="shared" si="114"/>
        <v>전략P</v>
      </c>
      <c r="AY88" s="468">
        <v>0.02</v>
      </c>
      <c r="AZ88" s="468"/>
      <c r="BA88" s="279" t="s">
        <v>822</v>
      </c>
      <c r="BB88" s="279" t="s">
        <v>1635</v>
      </c>
      <c r="BC88" s="279"/>
      <c r="BD88" s="279" t="s">
        <v>1184</v>
      </c>
      <c r="BE88" s="279" t="str">
        <f t="shared" si="149"/>
        <v>제네시스</v>
      </c>
      <c r="BF88" s="581">
        <v>4.1000000000000002E-2</v>
      </c>
      <c r="BG88" s="281">
        <v>88000</v>
      </c>
      <c r="BH88" s="281">
        <v>337000</v>
      </c>
      <c r="BI88" s="279"/>
      <c r="BJ88" s="279"/>
      <c r="BK88" s="279"/>
      <c r="BL88" s="279"/>
      <c r="BM88" s="279" t="s">
        <v>1547</v>
      </c>
      <c r="BN88" s="279"/>
      <c r="BO88" s="279"/>
      <c r="BP88" s="500">
        <f t="shared" si="147"/>
        <v>6.2E-2</v>
      </c>
      <c r="BQ88" s="973">
        <f t="shared" si="148"/>
        <v>5.5E-2</v>
      </c>
    </row>
    <row r="89" spans="1:69" s="460" customFormat="1" ht="15" customHeight="1">
      <c r="A89" s="281">
        <v>77</v>
      </c>
      <c r="B89" s="279">
        <v>401687649</v>
      </c>
      <c r="C89" s="279" t="s">
        <v>472</v>
      </c>
      <c r="D89" s="279" t="s">
        <v>473</v>
      </c>
      <c r="E89" s="279" t="s">
        <v>482</v>
      </c>
      <c r="F89" s="279" t="s">
        <v>474</v>
      </c>
      <c r="G89" s="279">
        <v>111800000</v>
      </c>
      <c r="H89" s="279">
        <v>3470</v>
      </c>
      <c r="I89" s="279">
        <v>0</v>
      </c>
      <c r="J89" s="279">
        <v>4</v>
      </c>
      <c r="K89" s="279" t="s">
        <v>475</v>
      </c>
      <c r="L89" s="279">
        <v>0</v>
      </c>
      <c r="M89" s="279" t="s">
        <v>98</v>
      </c>
      <c r="N89" s="279" t="s">
        <v>544</v>
      </c>
      <c r="O89" s="279" t="s">
        <v>109</v>
      </c>
      <c r="P89" s="279" t="s">
        <v>109</v>
      </c>
      <c r="Q89" s="279" t="s">
        <v>1354</v>
      </c>
      <c r="R89" s="279" t="s">
        <v>952</v>
      </c>
      <c r="S89" s="279">
        <v>73</v>
      </c>
      <c r="T89" s="279">
        <v>8.4</v>
      </c>
      <c r="U89" s="279" t="s">
        <v>573</v>
      </c>
      <c r="V89" s="279" t="s">
        <v>574</v>
      </c>
      <c r="W89" s="279" t="s">
        <v>473</v>
      </c>
      <c r="X89" s="279" t="s">
        <v>484</v>
      </c>
      <c r="Y89" s="279"/>
      <c r="Z89" s="279"/>
      <c r="AA89" s="279"/>
      <c r="AB89" s="279" t="s">
        <v>486</v>
      </c>
      <c r="AC89" s="279" t="s">
        <v>1359</v>
      </c>
      <c r="AD89" s="279" t="s">
        <v>491</v>
      </c>
      <c r="AE89" s="279">
        <v>87649</v>
      </c>
      <c r="AF89" s="279" t="s">
        <v>473</v>
      </c>
      <c r="AG89" s="279"/>
      <c r="AH89" s="279"/>
      <c r="AI89" s="279">
        <v>20240326</v>
      </c>
      <c r="AJ89" s="462" t="s">
        <v>937</v>
      </c>
      <c r="AK89" s="279"/>
      <c r="AL89" s="279" t="str">
        <f>IF(AB89="Y","단종모델",LEFT(N89,3)&amp;IFERROR(VLOOKUP(LEFT(N89,3)&amp;P89,#REF!,2,0),""))</f>
        <v>GNS</v>
      </c>
      <c r="AM89" s="469" t="str">
        <f t="shared" si="131"/>
        <v>G90  가솔린 터보 3.5-48V 일렉트릭 슈퍼차저 AWD (4인승)</v>
      </c>
      <c r="AN89" s="279">
        <f t="shared" si="125"/>
        <v>111800000</v>
      </c>
      <c r="AO89" s="279">
        <f t="shared" si="126"/>
        <v>3470</v>
      </c>
      <c r="AP89" s="279" t="str">
        <f t="shared" si="127"/>
        <v>M</v>
      </c>
      <c r="AQ89" s="279">
        <f t="shared" si="128"/>
        <v>4</v>
      </c>
      <c r="AR89" s="279" t="str">
        <f t="shared" si="129"/>
        <v>승용</v>
      </c>
      <c r="AS89" s="279" t="str">
        <f t="shared" si="130"/>
        <v>승용</v>
      </c>
      <c r="AT89" s="279" t="str">
        <f t="shared" si="111"/>
        <v>6급</v>
      </c>
      <c r="AU89" s="279" t="str">
        <f t="shared" si="112"/>
        <v>03:울산대형</v>
      </c>
      <c r="AV89" s="279">
        <f t="shared" si="150"/>
        <v>0</v>
      </c>
      <c r="AW89" s="279" t="str">
        <f t="shared" si="113"/>
        <v>D</v>
      </c>
      <c r="AX89" s="279" t="str">
        <f t="shared" si="114"/>
        <v>전략P</v>
      </c>
      <c r="AY89" s="468">
        <v>0.02</v>
      </c>
      <c r="AZ89" s="468"/>
      <c r="BA89" s="279" t="s">
        <v>822</v>
      </c>
      <c r="BB89" s="279" t="s">
        <v>1635</v>
      </c>
      <c r="BC89" s="279"/>
      <c r="BD89" s="279" t="s">
        <v>1184</v>
      </c>
      <c r="BE89" s="279" t="str">
        <f t="shared" si="149"/>
        <v>제네시스</v>
      </c>
      <c r="BF89" s="581">
        <v>4.1000000000000002E-2</v>
      </c>
      <c r="BG89" s="281">
        <v>88000</v>
      </c>
      <c r="BH89" s="281">
        <v>337000</v>
      </c>
      <c r="BI89" s="279"/>
      <c r="BJ89" s="279"/>
      <c r="BK89" s="279"/>
      <c r="BL89" s="279"/>
      <c r="BM89" s="279" t="s">
        <v>1547</v>
      </c>
      <c r="BN89" s="279"/>
      <c r="BO89" s="279"/>
      <c r="BP89" s="500">
        <f t="shared" si="147"/>
        <v>6.2E-2</v>
      </c>
      <c r="BQ89" s="973">
        <f t="shared" si="148"/>
        <v>5.5E-2</v>
      </c>
    </row>
    <row r="90" spans="1:69" s="460" customFormat="1" ht="15" customHeight="1">
      <c r="A90" s="281">
        <v>78</v>
      </c>
      <c r="B90" s="279">
        <v>401687652</v>
      </c>
      <c r="C90" s="279" t="s">
        <v>472</v>
      </c>
      <c r="D90" s="279" t="s">
        <v>473</v>
      </c>
      <c r="E90" s="279" t="s">
        <v>482</v>
      </c>
      <c r="F90" s="279" t="s">
        <v>474</v>
      </c>
      <c r="G90" s="279">
        <v>138000000</v>
      </c>
      <c r="H90" s="279">
        <v>3470</v>
      </c>
      <c r="I90" s="279">
        <v>0</v>
      </c>
      <c r="J90" s="279">
        <v>5</v>
      </c>
      <c r="K90" s="279" t="s">
        <v>475</v>
      </c>
      <c r="L90" s="279">
        <v>0</v>
      </c>
      <c r="M90" s="279" t="s">
        <v>98</v>
      </c>
      <c r="N90" s="279" t="s">
        <v>544</v>
      </c>
      <c r="O90" s="279" t="s">
        <v>109</v>
      </c>
      <c r="P90" s="279" t="s">
        <v>109</v>
      </c>
      <c r="Q90" s="279" t="s">
        <v>1354</v>
      </c>
      <c r="R90" s="279" t="s">
        <v>1355</v>
      </c>
      <c r="S90" s="279">
        <v>73</v>
      </c>
      <c r="T90" s="279">
        <v>8.4</v>
      </c>
      <c r="U90" s="279" t="s">
        <v>1356</v>
      </c>
      <c r="V90" s="279" t="s">
        <v>1357</v>
      </c>
      <c r="W90" s="279" t="s">
        <v>473</v>
      </c>
      <c r="X90" s="279" t="s">
        <v>484</v>
      </c>
      <c r="Y90" s="279"/>
      <c r="Z90" s="279"/>
      <c r="AA90" s="279"/>
      <c r="AB90" s="279" t="s">
        <v>486</v>
      </c>
      <c r="AC90" s="279" t="s">
        <v>1359</v>
      </c>
      <c r="AD90" s="279" t="s">
        <v>491</v>
      </c>
      <c r="AE90" s="279">
        <v>87652</v>
      </c>
      <c r="AF90" s="279" t="s">
        <v>473</v>
      </c>
      <c r="AG90" s="279"/>
      <c r="AH90" s="279"/>
      <c r="AI90" s="279">
        <v>20240326</v>
      </c>
      <c r="AJ90" s="462" t="s">
        <v>937</v>
      </c>
      <c r="AK90" s="279"/>
      <c r="AL90" s="279" t="str">
        <f>IF(AB90="Y","단종모델",LEFT(N90,3)&amp;IFERROR(VLOOKUP(LEFT(N90,3)&amp;P90,#REF!,2,0),""))</f>
        <v>GNS</v>
      </c>
      <c r="AM90" s="469" t="str">
        <f t="shared" si="131"/>
        <v>G90  가솔린 터보 3.5-48V 일렉트릭 슈퍼차저 BLACK AWD (5인승)</v>
      </c>
      <c r="AN90" s="279">
        <f t="shared" si="125"/>
        <v>138000000</v>
      </c>
      <c r="AO90" s="279">
        <f t="shared" ref="AO90:AO91" si="151">H90</f>
        <v>3470</v>
      </c>
      <c r="AP90" s="279" t="str">
        <f t="shared" ref="AP90:AP91" si="152">LEFT(K90,1)</f>
        <v>M</v>
      </c>
      <c r="AQ90" s="279">
        <f t="shared" ref="AQ90:AQ91" si="153">J90</f>
        <v>5</v>
      </c>
      <c r="AR90" s="279" t="str">
        <f t="shared" ref="AR90:AR91" si="154">RIGHT(D90,2)</f>
        <v>승용</v>
      </c>
      <c r="AS90" s="279" t="str">
        <f t="shared" ref="AS90:AS91" si="155">MID(W90,4,3)</f>
        <v>승용</v>
      </c>
      <c r="AT90" s="279" t="str">
        <f t="shared" ref="AT90:AT91" si="156">RIGHT(AC90,2)</f>
        <v>6급</v>
      </c>
      <c r="AU90" s="279" t="str">
        <f t="shared" ref="AU90:AU91" si="157">AB90</f>
        <v>03:울산대형</v>
      </c>
      <c r="AV90" s="279">
        <f t="shared" si="150"/>
        <v>0</v>
      </c>
      <c r="AW90" s="279" t="str">
        <f t="shared" ref="AW90:AW91" si="158">LEFT(F90,1)</f>
        <v>D</v>
      </c>
      <c r="AX90" s="279" t="str">
        <f t="shared" ref="AX90:AX91" si="159">AJ90</f>
        <v>전략P</v>
      </c>
      <c r="AY90" s="468">
        <v>0.02</v>
      </c>
      <c r="AZ90" s="468"/>
      <c r="BA90" s="279" t="s">
        <v>1692</v>
      </c>
      <c r="BB90" s="279" t="s">
        <v>1556</v>
      </c>
      <c r="BC90" s="279"/>
      <c r="BD90" s="279" t="s">
        <v>1184</v>
      </c>
      <c r="BE90" s="279" t="str">
        <f t="shared" si="149"/>
        <v>제네시스</v>
      </c>
      <c r="BF90" s="581">
        <v>4.1000000000000002E-2</v>
      </c>
      <c r="BG90" s="281">
        <v>88000</v>
      </c>
      <c r="BH90" s="281">
        <v>337000</v>
      </c>
      <c r="BI90" s="279"/>
      <c r="BJ90" s="279"/>
      <c r="BK90" s="279"/>
      <c r="BL90" s="279"/>
      <c r="BM90" s="279" t="s">
        <v>1547</v>
      </c>
      <c r="BN90" s="279"/>
      <c r="BO90" s="279"/>
      <c r="BP90" s="500">
        <f t="shared" si="147"/>
        <v>6.2E-2</v>
      </c>
      <c r="BQ90" s="973">
        <f t="shared" si="148"/>
        <v>5.5E-2</v>
      </c>
    </row>
    <row r="91" spans="1:69" s="460" customFormat="1" ht="15" customHeight="1">
      <c r="A91" s="281">
        <v>79</v>
      </c>
      <c r="B91" s="279">
        <v>401687653</v>
      </c>
      <c r="C91" s="279" t="s">
        <v>472</v>
      </c>
      <c r="D91" s="279" t="s">
        <v>473</v>
      </c>
      <c r="E91" s="279" t="s">
        <v>482</v>
      </c>
      <c r="F91" s="279" t="s">
        <v>474</v>
      </c>
      <c r="G91" s="279">
        <v>141400000</v>
      </c>
      <c r="H91" s="279">
        <v>3470</v>
      </c>
      <c r="I91" s="279">
        <v>0</v>
      </c>
      <c r="J91" s="279">
        <v>4</v>
      </c>
      <c r="K91" s="279" t="s">
        <v>475</v>
      </c>
      <c r="L91" s="279">
        <v>0</v>
      </c>
      <c r="M91" s="279" t="s">
        <v>98</v>
      </c>
      <c r="N91" s="279" t="s">
        <v>544</v>
      </c>
      <c r="O91" s="279" t="s">
        <v>109</v>
      </c>
      <c r="P91" s="279" t="s">
        <v>109</v>
      </c>
      <c r="Q91" s="279" t="s">
        <v>1354</v>
      </c>
      <c r="R91" s="279" t="s">
        <v>1358</v>
      </c>
      <c r="S91" s="279">
        <v>73</v>
      </c>
      <c r="T91" s="279">
        <v>8.4</v>
      </c>
      <c r="U91" s="279" t="s">
        <v>1356</v>
      </c>
      <c r="V91" s="279" t="s">
        <v>1357</v>
      </c>
      <c r="W91" s="279" t="s">
        <v>473</v>
      </c>
      <c r="X91" s="279" t="s">
        <v>484</v>
      </c>
      <c r="Y91" s="279"/>
      <c r="Z91" s="279"/>
      <c r="AA91" s="279"/>
      <c r="AB91" s="279" t="s">
        <v>486</v>
      </c>
      <c r="AC91" s="279" t="s">
        <v>1359</v>
      </c>
      <c r="AD91" s="279" t="s">
        <v>491</v>
      </c>
      <c r="AE91" s="279">
        <v>87653</v>
      </c>
      <c r="AF91" s="279" t="s">
        <v>473</v>
      </c>
      <c r="AG91" s="279"/>
      <c r="AH91" s="279"/>
      <c r="AI91" s="279">
        <v>20240326</v>
      </c>
      <c r="AJ91" s="462" t="s">
        <v>937</v>
      </c>
      <c r="AK91" s="279"/>
      <c r="AL91" s="279" t="str">
        <f>IF(AB91="Y","단종모델",LEFT(N91,3)&amp;IFERROR(VLOOKUP(LEFT(N91,3)&amp;P91,#REF!,2,0),""))</f>
        <v>GNS</v>
      </c>
      <c r="AM91" s="469" t="str">
        <f t="shared" si="131"/>
        <v>G90  가솔린 터보 3.5-48V 일렉트릭 슈퍼차저 BLACK AWD (4인승)</v>
      </c>
      <c r="AN91" s="279">
        <f t="shared" si="125"/>
        <v>141400000</v>
      </c>
      <c r="AO91" s="279">
        <f t="shared" si="151"/>
        <v>3470</v>
      </c>
      <c r="AP91" s="279" t="str">
        <f t="shared" si="152"/>
        <v>M</v>
      </c>
      <c r="AQ91" s="279">
        <f t="shared" si="153"/>
        <v>4</v>
      </c>
      <c r="AR91" s="279" t="str">
        <f t="shared" si="154"/>
        <v>승용</v>
      </c>
      <c r="AS91" s="279" t="str">
        <f t="shared" si="155"/>
        <v>승용</v>
      </c>
      <c r="AT91" s="279" t="str">
        <f t="shared" si="156"/>
        <v>6급</v>
      </c>
      <c r="AU91" s="279" t="str">
        <f t="shared" si="157"/>
        <v>03:울산대형</v>
      </c>
      <c r="AV91" s="279">
        <f t="shared" si="150"/>
        <v>0</v>
      </c>
      <c r="AW91" s="279" t="str">
        <f t="shared" si="158"/>
        <v>D</v>
      </c>
      <c r="AX91" s="279" t="str">
        <f t="shared" si="159"/>
        <v>전략P</v>
      </c>
      <c r="AY91" s="468">
        <v>0.02</v>
      </c>
      <c r="AZ91" s="468"/>
      <c r="BA91" s="279" t="s">
        <v>1692</v>
      </c>
      <c r="BB91" s="279" t="s">
        <v>1556</v>
      </c>
      <c r="BC91" s="279"/>
      <c r="BD91" s="279" t="s">
        <v>1184</v>
      </c>
      <c r="BE91" s="279" t="str">
        <f t="shared" si="149"/>
        <v>제네시스</v>
      </c>
      <c r="BF91" s="581">
        <v>4.1000000000000002E-2</v>
      </c>
      <c r="BG91" s="281">
        <v>88000</v>
      </c>
      <c r="BH91" s="281">
        <v>337000</v>
      </c>
      <c r="BI91" s="279"/>
      <c r="BJ91" s="279"/>
      <c r="BK91" s="279"/>
      <c r="BL91" s="279"/>
      <c r="BM91" s="279" t="s">
        <v>1547</v>
      </c>
      <c r="BN91" s="279"/>
      <c r="BO91" s="279"/>
      <c r="BP91" s="500">
        <f t="shared" si="147"/>
        <v>6.2E-2</v>
      </c>
      <c r="BQ91" s="973">
        <f t="shared" si="148"/>
        <v>5.5E-2</v>
      </c>
    </row>
    <row r="92" spans="1:69" s="460" customFormat="1" ht="15" customHeight="1">
      <c r="A92" s="281">
        <v>80</v>
      </c>
      <c r="B92" s="279">
        <v>446586522</v>
      </c>
      <c r="C92" s="279" t="s">
        <v>472</v>
      </c>
      <c r="D92" s="279" t="s">
        <v>528</v>
      </c>
      <c r="E92" s="279" t="s">
        <v>482</v>
      </c>
      <c r="F92" s="279" t="s">
        <v>474</v>
      </c>
      <c r="G92" s="279">
        <v>69300000</v>
      </c>
      <c r="H92" s="279">
        <v>2497</v>
      </c>
      <c r="I92" s="279">
        <v>0</v>
      </c>
      <c r="J92" s="279">
        <v>5</v>
      </c>
      <c r="K92" s="279" t="s">
        <v>475</v>
      </c>
      <c r="L92" s="279">
        <v>0</v>
      </c>
      <c r="M92" s="279" t="s">
        <v>98</v>
      </c>
      <c r="N92" s="279" t="s">
        <v>544</v>
      </c>
      <c r="O92" s="279" t="s">
        <v>1209</v>
      </c>
      <c r="P92" s="279" t="s">
        <v>566</v>
      </c>
      <c r="Q92" s="279" t="s">
        <v>1205</v>
      </c>
      <c r="R92" s="279" t="s">
        <v>1206</v>
      </c>
      <c r="S92" s="279">
        <v>80</v>
      </c>
      <c r="T92" s="279">
        <v>9.3000000000000007</v>
      </c>
      <c r="U92" s="279" t="s">
        <v>546</v>
      </c>
      <c r="V92" s="279" t="s">
        <v>546</v>
      </c>
      <c r="W92" s="279" t="s">
        <v>473</v>
      </c>
      <c r="X92" s="279" t="s">
        <v>484</v>
      </c>
      <c r="Y92" s="279"/>
      <c r="Z92" s="279"/>
      <c r="AA92" s="279"/>
      <c r="AB92" s="279" t="s">
        <v>486</v>
      </c>
      <c r="AC92" s="279" t="s">
        <v>490</v>
      </c>
      <c r="AD92" s="279" t="s">
        <v>491</v>
      </c>
      <c r="AE92" s="279">
        <v>86522</v>
      </c>
      <c r="AF92" s="279" t="s">
        <v>473</v>
      </c>
      <c r="AG92" s="279"/>
      <c r="AH92" s="279"/>
      <c r="AI92" s="279">
        <v>20231012</v>
      </c>
      <c r="AJ92" s="462" t="s">
        <v>1153</v>
      </c>
      <c r="AK92" s="279"/>
      <c r="AL92" s="279" t="str">
        <f>IF(AB92="Y","단종모델",LEFT(N92,3)&amp;IFERROR(VLOOKUP(LEFT(N92,3)&amp;P92,#REF!,2,0),""))</f>
        <v>GNS</v>
      </c>
      <c r="AM92" s="469" t="str">
        <f t="shared" si="131"/>
        <v>GV80 가솔린 터보 2.5 (5인승)</v>
      </c>
      <c r="AN92" s="279">
        <f t="shared" si="125"/>
        <v>69300000</v>
      </c>
      <c r="AO92" s="279">
        <f t="shared" si="126"/>
        <v>2497</v>
      </c>
      <c r="AP92" s="279" t="str">
        <f t="shared" si="127"/>
        <v>M</v>
      </c>
      <c r="AQ92" s="279">
        <f t="shared" si="128"/>
        <v>5</v>
      </c>
      <c r="AR92" s="279" t="str">
        <f t="shared" si="129"/>
        <v>RV</v>
      </c>
      <c r="AS92" s="279" t="str">
        <f t="shared" si="130"/>
        <v>승용</v>
      </c>
      <c r="AT92" s="279" t="str">
        <f t="shared" si="111"/>
        <v>7급</v>
      </c>
      <c r="AU92" s="279" t="str">
        <f t="shared" si="112"/>
        <v>03:울산대형</v>
      </c>
      <c r="AV92" s="279">
        <f t="shared" si="150"/>
        <v>0</v>
      </c>
      <c r="AW92" s="279" t="str">
        <f t="shared" si="113"/>
        <v>D</v>
      </c>
      <c r="AX92" s="279" t="str">
        <f t="shared" si="114"/>
        <v>전략P</v>
      </c>
      <c r="AY92" s="468">
        <v>0.02</v>
      </c>
      <c r="AZ92" s="468"/>
      <c r="BA92" s="279" t="s">
        <v>1687</v>
      </c>
      <c r="BB92" s="279" t="s">
        <v>1630</v>
      </c>
      <c r="BC92" s="279"/>
      <c r="BD92" s="279" t="s">
        <v>1184</v>
      </c>
      <c r="BE92" s="279" t="str">
        <f t="shared" si="149"/>
        <v>제네시스</v>
      </c>
      <c r="BF92" s="581">
        <v>4.1000000000000002E-2</v>
      </c>
      <c r="BG92" s="281">
        <v>82000</v>
      </c>
      <c r="BH92" s="281">
        <v>331000</v>
      </c>
      <c r="BI92" s="279"/>
      <c r="BJ92" s="279"/>
      <c r="BK92" s="279"/>
      <c r="BL92" s="279"/>
      <c r="BM92" s="279" t="s">
        <v>1547</v>
      </c>
      <c r="BN92" s="279"/>
      <c r="BO92" s="279"/>
      <c r="BP92" s="500">
        <f t="shared" si="147"/>
        <v>6.2E-2</v>
      </c>
      <c r="BQ92" s="973">
        <f t="shared" si="148"/>
        <v>5.5E-2</v>
      </c>
    </row>
    <row r="93" spans="1:69" s="460" customFormat="1" ht="15" customHeight="1">
      <c r="A93" s="281">
        <v>81</v>
      </c>
      <c r="B93" s="279">
        <v>446586599</v>
      </c>
      <c r="C93" s="279" t="s">
        <v>472</v>
      </c>
      <c r="D93" s="279" t="s">
        <v>528</v>
      </c>
      <c r="E93" s="279" t="s">
        <v>482</v>
      </c>
      <c r="F93" s="279" t="s">
        <v>474</v>
      </c>
      <c r="G93" s="279">
        <v>71800000</v>
      </c>
      <c r="H93" s="279">
        <v>2497</v>
      </c>
      <c r="I93" s="279">
        <v>0</v>
      </c>
      <c r="J93" s="279">
        <v>6</v>
      </c>
      <c r="K93" s="279" t="s">
        <v>475</v>
      </c>
      <c r="L93" s="279">
        <v>0</v>
      </c>
      <c r="M93" s="279" t="s">
        <v>98</v>
      </c>
      <c r="N93" s="279" t="s">
        <v>544</v>
      </c>
      <c r="O93" s="279" t="s">
        <v>1209</v>
      </c>
      <c r="P93" s="279" t="s">
        <v>566</v>
      </c>
      <c r="Q93" s="279" t="s">
        <v>900</v>
      </c>
      <c r="R93" s="279" t="s">
        <v>1207</v>
      </c>
      <c r="S93" s="279">
        <v>80</v>
      </c>
      <c r="T93" s="279">
        <v>9.3000000000000007</v>
      </c>
      <c r="U93" s="279" t="s">
        <v>546</v>
      </c>
      <c r="V93" s="279" t="s">
        <v>546</v>
      </c>
      <c r="W93" s="279" t="s">
        <v>473</v>
      </c>
      <c r="X93" s="279" t="s">
        <v>484</v>
      </c>
      <c r="Y93" s="279"/>
      <c r="Z93" s="279"/>
      <c r="AA93" s="279"/>
      <c r="AB93" s="279" t="s">
        <v>486</v>
      </c>
      <c r="AC93" s="279" t="s">
        <v>490</v>
      </c>
      <c r="AD93" s="279" t="s">
        <v>491</v>
      </c>
      <c r="AE93" s="279">
        <v>86599</v>
      </c>
      <c r="AF93" s="279" t="s">
        <v>473</v>
      </c>
      <c r="AG93" s="279"/>
      <c r="AH93" s="279"/>
      <c r="AI93" s="279">
        <v>20231012</v>
      </c>
      <c r="AJ93" s="462" t="s">
        <v>1153</v>
      </c>
      <c r="AK93" s="279"/>
      <c r="AL93" s="279" t="str">
        <f>IF(AB93="Y","단종모델",LEFT(N93,3)&amp;IFERROR(VLOOKUP(LEFT(N93,3)&amp;P93,#REF!,2,0),""))</f>
        <v>GNS</v>
      </c>
      <c r="AM93" s="469" t="str">
        <f t="shared" si="131"/>
        <v>GV80 가솔린 터보 2.5 (6인승)</v>
      </c>
      <c r="AN93" s="279">
        <f t="shared" si="125"/>
        <v>71800000</v>
      </c>
      <c r="AO93" s="279">
        <f t="shared" si="126"/>
        <v>2497</v>
      </c>
      <c r="AP93" s="279" t="str">
        <f t="shared" si="127"/>
        <v>M</v>
      </c>
      <c r="AQ93" s="279">
        <f t="shared" si="128"/>
        <v>6</v>
      </c>
      <c r="AR93" s="279" t="str">
        <f t="shared" si="129"/>
        <v>RV</v>
      </c>
      <c r="AS93" s="279" t="str">
        <f t="shared" si="130"/>
        <v>승용</v>
      </c>
      <c r="AT93" s="279" t="str">
        <f t="shared" si="111"/>
        <v>7급</v>
      </c>
      <c r="AU93" s="279" t="str">
        <f t="shared" si="112"/>
        <v>03:울산대형</v>
      </c>
      <c r="AV93" s="279">
        <f t="shared" si="150"/>
        <v>0</v>
      </c>
      <c r="AW93" s="279" t="str">
        <f t="shared" si="113"/>
        <v>D</v>
      </c>
      <c r="AX93" s="279" t="str">
        <f t="shared" si="114"/>
        <v>전략P</v>
      </c>
      <c r="AY93" s="468">
        <v>0.02</v>
      </c>
      <c r="AZ93" s="468"/>
      <c r="BA93" s="279" t="s">
        <v>1687</v>
      </c>
      <c r="BB93" s="279" t="s">
        <v>1552</v>
      </c>
      <c r="BC93" s="279"/>
      <c r="BD93" s="279" t="s">
        <v>1184</v>
      </c>
      <c r="BE93" s="279" t="str">
        <f t="shared" si="149"/>
        <v>제네시스</v>
      </c>
      <c r="BF93" s="581">
        <v>4.1000000000000002E-2</v>
      </c>
      <c r="BG93" s="281">
        <v>82000</v>
      </c>
      <c r="BH93" s="281">
        <v>331000</v>
      </c>
      <c r="BI93" s="279"/>
      <c r="BJ93" s="279"/>
      <c r="BK93" s="279"/>
      <c r="BL93" s="279"/>
      <c r="BM93" s="279" t="s">
        <v>1547</v>
      </c>
      <c r="BN93" s="279"/>
      <c r="BO93" s="279"/>
      <c r="BP93" s="500">
        <f t="shared" si="147"/>
        <v>6.2E-2</v>
      </c>
      <c r="BQ93" s="973">
        <f t="shared" si="148"/>
        <v>5.5E-2</v>
      </c>
    </row>
    <row r="94" spans="1:69" s="460" customFormat="1" ht="15" customHeight="1">
      <c r="A94" s="281">
        <v>82</v>
      </c>
      <c r="B94" s="279">
        <v>446586600</v>
      </c>
      <c r="C94" s="279" t="s">
        <v>472</v>
      </c>
      <c r="D94" s="279" t="s">
        <v>528</v>
      </c>
      <c r="E94" s="279" t="s">
        <v>482</v>
      </c>
      <c r="F94" s="279" t="s">
        <v>474</v>
      </c>
      <c r="G94" s="279">
        <v>70300000</v>
      </c>
      <c r="H94" s="279">
        <v>2497</v>
      </c>
      <c r="I94" s="279">
        <v>0</v>
      </c>
      <c r="J94" s="279">
        <v>7</v>
      </c>
      <c r="K94" s="279" t="s">
        <v>475</v>
      </c>
      <c r="L94" s="279">
        <v>0</v>
      </c>
      <c r="M94" s="279" t="s">
        <v>98</v>
      </c>
      <c r="N94" s="279" t="s">
        <v>544</v>
      </c>
      <c r="O94" s="279" t="s">
        <v>1209</v>
      </c>
      <c r="P94" s="279" t="s">
        <v>566</v>
      </c>
      <c r="Q94" s="279" t="s">
        <v>900</v>
      </c>
      <c r="R94" s="279" t="s">
        <v>1208</v>
      </c>
      <c r="S94" s="279">
        <v>80</v>
      </c>
      <c r="T94" s="279">
        <v>9.3000000000000007</v>
      </c>
      <c r="U94" s="279" t="s">
        <v>546</v>
      </c>
      <c r="V94" s="279" t="s">
        <v>546</v>
      </c>
      <c r="W94" s="279" t="s">
        <v>507</v>
      </c>
      <c r="X94" s="279" t="s">
        <v>484</v>
      </c>
      <c r="Y94" s="279"/>
      <c r="Z94" s="279"/>
      <c r="AA94" s="279"/>
      <c r="AB94" s="279" t="s">
        <v>486</v>
      </c>
      <c r="AC94" s="279" t="s">
        <v>490</v>
      </c>
      <c r="AD94" s="279" t="s">
        <v>491</v>
      </c>
      <c r="AE94" s="279">
        <v>86600</v>
      </c>
      <c r="AF94" s="279" t="s">
        <v>507</v>
      </c>
      <c r="AG94" s="279"/>
      <c r="AH94" s="279"/>
      <c r="AI94" s="279">
        <v>20231012</v>
      </c>
      <c r="AJ94" s="462" t="s">
        <v>1153</v>
      </c>
      <c r="AK94" s="279"/>
      <c r="AL94" s="279" t="str">
        <f>IF(AB94="Y","단종모델",LEFT(N94,3)&amp;IFERROR(VLOOKUP(LEFT(N94,3)&amp;P94,#REF!,2,0),""))</f>
        <v>GNS</v>
      </c>
      <c r="AM94" s="469" t="str">
        <f t="shared" si="131"/>
        <v>GV80 가솔린 터보 2.5 (7인승)</v>
      </c>
      <c r="AN94" s="279">
        <f t="shared" si="125"/>
        <v>70300000</v>
      </c>
      <c r="AO94" s="279">
        <f t="shared" si="126"/>
        <v>2497</v>
      </c>
      <c r="AP94" s="279" t="str">
        <f t="shared" si="127"/>
        <v>M</v>
      </c>
      <c r="AQ94" s="279">
        <f t="shared" si="128"/>
        <v>7</v>
      </c>
      <c r="AR94" s="279" t="str">
        <f t="shared" si="129"/>
        <v>RV</v>
      </c>
      <c r="AS94" s="279" t="str">
        <f t="shared" si="130"/>
        <v>다인승</v>
      </c>
      <c r="AT94" s="279" t="str">
        <f t="shared" si="111"/>
        <v>7급</v>
      </c>
      <c r="AU94" s="279" t="str">
        <f t="shared" si="112"/>
        <v>03:울산대형</v>
      </c>
      <c r="AV94" s="279">
        <f t="shared" si="150"/>
        <v>0</v>
      </c>
      <c r="AW94" s="279" t="str">
        <f t="shared" si="113"/>
        <v>D</v>
      </c>
      <c r="AX94" s="279" t="str">
        <f t="shared" si="114"/>
        <v>전략P</v>
      </c>
      <c r="AY94" s="468">
        <v>0.02</v>
      </c>
      <c r="AZ94" s="468"/>
      <c r="BA94" s="279" t="s">
        <v>1687</v>
      </c>
      <c r="BB94" s="279" t="s">
        <v>1552</v>
      </c>
      <c r="BC94" s="279"/>
      <c r="BD94" s="279" t="s">
        <v>1184</v>
      </c>
      <c r="BE94" s="279" t="str">
        <f t="shared" si="149"/>
        <v>제네시스</v>
      </c>
      <c r="BF94" s="581">
        <v>4.1000000000000002E-2</v>
      </c>
      <c r="BG94" s="281">
        <v>82000</v>
      </c>
      <c r="BH94" s="281">
        <v>331000</v>
      </c>
      <c r="BI94" s="279"/>
      <c r="BJ94" s="279"/>
      <c r="BK94" s="279"/>
      <c r="BL94" s="279"/>
      <c r="BM94" s="279" t="s">
        <v>1547</v>
      </c>
      <c r="BN94" s="279"/>
      <c r="BO94" s="279"/>
      <c r="BP94" s="500">
        <f t="shared" si="147"/>
        <v>6.2E-2</v>
      </c>
      <c r="BQ94" s="973">
        <f t="shared" si="148"/>
        <v>5.5E-2</v>
      </c>
    </row>
    <row r="95" spans="1:69" s="460" customFormat="1" ht="15" customHeight="1">
      <c r="A95" s="281"/>
      <c r="B95" s="279">
        <v>446588935</v>
      </c>
      <c r="C95" s="279" t="s">
        <v>472</v>
      </c>
      <c r="D95" s="279" t="s">
        <v>528</v>
      </c>
      <c r="E95" s="279" t="s">
        <v>482</v>
      </c>
      <c r="F95" s="279" t="s">
        <v>474</v>
      </c>
      <c r="G95" s="279">
        <v>94400000</v>
      </c>
      <c r="H95" s="279">
        <v>2497</v>
      </c>
      <c r="I95" s="279">
        <v>0</v>
      </c>
      <c r="J95" s="279">
        <v>5</v>
      </c>
      <c r="K95" s="279" t="s">
        <v>475</v>
      </c>
      <c r="L95" s="279">
        <v>0</v>
      </c>
      <c r="M95" s="279" t="s">
        <v>98</v>
      </c>
      <c r="N95" s="279" t="s">
        <v>544</v>
      </c>
      <c r="O95" s="279" t="s">
        <v>1814</v>
      </c>
      <c r="P95" s="279" t="s">
        <v>566</v>
      </c>
      <c r="Q95" s="279" t="s">
        <v>1833</v>
      </c>
      <c r="R95" s="279" t="s">
        <v>1355</v>
      </c>
      <c r="S95" s="279">
        <v>80</v>
      </c>
      <c r="T95" s="279">
        <v>8.3000000000000007</v>
      </c>
      <c r="U95" s="279" t="s">
        <v>1815</v>
      </c>
      <c r="V95" s="279" t="s">
        <v>1815</v>
      </c>
      <c r="W95" s="279" t="s">
        <v>473</v>
      </c>
      <c r="X95" s="279" t="s">
        <v>484</v>
      </c>
      <c r="Y95" s="279"/>
      <c r="Z95" s="279"/>
      <c r="AA95" s="279"/>
      <c r="AB95" s="279" t="s">
        <v>486</v>
      </c>
      <c r="AC95" s="279" t="s">
        <v>490</v>
      </c>
      <c r="AD95" s="279" t="s">
        <v>491</v>
      </c>
      <c r="AE95" s="279">
        <v>88935</v>
      </c>
      <c r="AF95" s="279" t="s">
        <v>473</v>
      </c>
      <c r="AG95" s="279"/>
      <c r="AH95" s="279"/>
      <c r="AI95" s="279">
        <v>20241104</v>
      </c>
      <c r="AJ95" s="462" t="s">
        <v>937</v>
      </c>
      <c r="AK95" s="279"/>
      <c r="AL95" s="279" t="str">
        <f>IF(AB95="Y","단종모델",LEFT(N95,3)&amp;IFERROR(VLOOKUP(LEFT(N95,3)&amp;P95,#REF!,2,0),""))</f>
        <v>GNS</v>
      </c>
      <c r="AM95" s="469" t="str">
        <f t="shared" ref="AM95:AM97" si="160">O95&amp;" "&amp;Q95&amp;" "&amp;R95</f>
        <v>GV80 가솔린 터보 2.5 BLACK AWD (5인승)</v>
      </c>
      <c r="AN95" s="279">
        <f t="shared" ref="AN95:AN97" si="161">G95</f>
        <v>94400000</v>
      </c>
      <c r="AO95" s="279">
        <f t="shared" ref="AO95:AO97" si="162">H95</f>
        <v>2497</v>
      </c>
      <c r="AP95" s="279" t="str">
        <f t="shared" ref="AP95:AP97" si="163">LEFT(K95,1)</f>
        <v>M</v>
      </c>
      <c r="AQ95" s="279">
        <f t="shared" ref="AQ95:AQ97" si="164">J95</f>
        <v>5</v>
      </c>
      <c r="AR95" s="279" t="str">
        <f t="shared" ref="AR95:AR97" si="165">RIGHT(D95,2)</f>
        <v>RV</v>
      </c>
      <c r="AS95" s="279" t="str">
        <f t="shared" ref="AS95:AS97" si="166">MID(W95,4,3)</f>
        <v>승용</v>
      </c>
      <c r="AT95" s="279" t="str">
        <f t="shared" ref="AT95:AT97" si="167">RIGHT(AC95,2)</f>
        <v>7급</v>
      </c>
      <c r="AU95" s="279" t="str">
        <f t="shared" ref="AU95:AU97" si="168">AB95</f>
        <v>03:울산대형</v>
      </c>
      <c r="AV95" s="279">
        <f t="shared" ref="AV95:AV97" si="169">IF(AND(BE95="기아",AQ95&lt;7),1900,IF(AND(BE95="기아",AQ95&gt;6,AQ95&lt;11),2500,IF(AND(BE95="기아",AQ95&gt;10),3500,IF(AND(BE95="KG모빌리티",AQ95&lt;7),3650,IF(AND(BE95="KG모빌리티",AQ95&gt;6),4300,0)))))</f>
        <v>0</v>
      </c>
      <c r="AW95" s="279" t="str">
        <f t="shared" ref="AW95:AW97" si="170">LEFT(F95,1)</f>
        <v>D</v>
      </c>
      <c r="AX95" s="279" t="str">
        <f t="shared" ref="AX95:AX97" si="171">AJ95</f>
        <v>전략P</v>
      </c>
      <c r="AY95" s="468">
        <v>0.02</v>
      </c>
      <c r="AZ95" s="468"/>
      <c r="BA95" s="279" t="s">
        <v>1840</v>
      </c>
      <c r="BB95" s="279" t="s">
        <v>1552</v>
      </c>
      <c r="BC95" s="279"/>
      <c r="BD95" s="279" t="s">
        <v>1184</v>
      </c>
      <c r="BE95" s="279" t="str">
        <f t="shared" ref="BE95:BE97" si="172">M95</f>
        <v>제네시스</v>
      </c>
      <c r="BF95" s="581">
        <v>4.1000000000000002E-2</v>
      </c>
      <c r="BG95" s="281">
        <v>82000</v>
      </c>
      <c r="BH95" s="281">
        <v>331000</v>
      </c>
      <c r="BI95" s="279"/>
      <c r="BJ95" s="279"/>
      <c r="BK95" s="279"/>
      <c r="BL95" s="279"/>
      <c r="BM95" s="279" t="s">
        <v>1547</v>
      </c>
      <c r="BN95" s="279"/>
      <c r="BO95" s="279"/>
      <c r="BP95" s="500">
        <f t="shared" ref="BP95:BP98" si="173">IF(AJ95="전략P",0.062,IF(AJ95="전략",0.068,IF(AND(AJ95="전기",LEFT(AM95,2)="레이"),0.145,IF(AJ95="전기",0.065,IF(LEFT(AM95,3)="캐스퍼",0.093,IF(H95&lt;1000,0.145,0.093))))))-IF(BO95&gt;0,BO95%,0%)</f>
        <v>6.2E-2</v>
      </c>
      <c r="BQ95" s="973">
        <f t="shared" ref="BQ95:BQ98" si="174">BP95-0.007</f>
        <v>5.5E-2</v>
      </c>
    </row>
    <row r="96" spans="1:69" s="460" customFormat="1" ht="15" customHeight="1">
      <c r="A96" s="281"/>
      <c r="B96" s="279">
        <v>446588936</v>
      </c>
      <c r="C96" s="279" t="s">
        <v>472</v>
      </c>
      <c r="D96" s="279" t="s">
        <v>528</v>
      </c>
      <c r="E96" s="279" t="s">
        <v>482</v>
      </c>
      <c r="F96" s="279" t="s">
        <v>474</v>
      </c>
      <c r="G96" s="279">
        <v>96900000</v>
      </c>
      <c r="H96" s="279">
        <v>2497</v>
      </c>
      <c r="I96" s="279">
        <v>0</v>
      </c>
      <c r="J96" s="279">
        <v>6</v>
      </c>
      <c r="K96" s="279" t="s">
        <v>475</v>
      </c>
      <c r="L96" s="279">
        <v>0</v>
      </c>
      <c r="M96" s="279" t="s">
        <v>98</v>
      </c>
      <c r="N96" s="279" t="s">
        <v>544</v>
      </c>
      <c r="O96" s="279" t="s">
        <v>1814</v>
      </c>
      <c r="P96" s="279" t="s">
        <v>566</v>
      </c>
      <c r="Q96" s="279" t="s">
        <v>1833</v>
      </c>
      <c r="R96" s="279" t="s">
        <v>1816</v>
      </c>
      <c r="S96" s="279">
        <v>80</v>
      </c>
      <c r="T96" s="279">
        <v>8.3000000000000007</v>
      </c>
      <c r="U96" s="279" t="s">
        <v>1815</v>
      </c>
      <c r="V96" s="279" t="s">
        <v>1815</v>
      </c>
      <c r="W96" s="279" t="s">
        <v>473</v>
      </c>
      <c r="X96" s="279" t="s">
        <v>484</v>
      </c>
      <c r="Y96" s="279"/>
      <c r="Z96" s="279"/>
      <c r="AA96" s="279"/>
      <c r="AB96" s="279" t="s">
        <v>486</v>
      </c>
      <c r="AC96" s="279" t="s">
        <v>490</v>
      </c>
      <c r="AD96" s="279" t="s">
        <v>491</v>
      </c>
      <c r="AE96" s="279">
        <v>88936</v>
      </c>
      <c r="AF96" s="279" t="s">
        <v>473</v>
      </c>
      <c r="AG96" s="279"/>
      <c r="AH96" s="279"/>
      <c r="AI96" s="279">
        <v>20241104</v>
      </c>
      <c r="AJ96" s="462" t="s">
        <v>937</v>
      </c>
      <c r="AK96" s="279"/>
      <c r="AL96" s="279" t="str">
        <f>IF(AB96="Y","단종모델",LEFT(N96,3)&amp;IFERROR(VLOOKUP(LEFT(N96,3)&amp;P96,#REF!,2,0),""))</f>
        <v>GNS</v>
      </c>
      <c r="AM96" s="469" t="str">
        <f t="shared" si="160"/>
        <v>GV80 가솔린 터보 2.5 BLACK AWD (6인승)</v>
      </c>
      <c r="AN96" s="279">
        <f t="shared" si="161"/>
        <v>96900000</v>
      </c>
      <c r="AO96" s="279">
        <f t="shared" si="162"/>
        <v>2497</v>
      </c>
      <c r="AP96" s="279" t="str">
        <f t="shared" si="163"/>
        <v>M</v>
      </c>
      <c r="AQ96" s="279">
        <f t="shared" si="164"/>
        <v>6</v>
      </c>
      <c r="AR96" s="279" t="str">
        <f t="shared" si="165"/>
        <v>RV</v>
      </c>
      <c r="AS96" s="279" t="str">
        <f t="shared" si="166"/>
        <v>승용</v>
      </c>
      <c r="AT96" s="279" t="str">
        <f t="shared" si="167"/>
        <v>7급</v>
      </c>
      <c r="AU96" s="279" t="str">
        <f t="shared" si="168"/>
        <v>03:울산대형</v>
      </c>
      <c r="AV96" s="279">
        <f t="shared" si="169"/>
        <v>0</v>
      </c>
      <c r="AW96" s="279" t="str">
        <f t="shared" si="170"/>
        <v>D</v>
      </c>
      <c r="AX96" s="279" t="str">
        <f t="shared" si="171"/>
        <v>전략P</v>
      </c>
      <c r="AY96" s="468">
        <v>0.02</v>
      </c>
      <c r="AZ96" s="468"/>
      <c r="BA96" s="279" t="s">
        <v>1840</v>
      </c>
      <c r="BB96" s="279" t="s">
        <v>1552</v>
      </c>
      <c r="BC96" s="279"/>
      <c r="BD96" s="279" t="s">
        <v>1184</v>
      </c>
      <c r="BE96" s="279" t="str">
        <f t="shared" si="172"/>
        <v>제네시스</v>
      </c>
      <c r="BF96" s="581">
        <v>4.1000000000000002E-2</v>
      </c>
      <c r="BG96" s="281">
        <v>82000</v>
      </c>
      <c r="BH96" s="281">
        <v>331000</v>
      </c>
      <c r="BI96" s="279"/>
      <c r="BJ96" s="279"/>
      <c r="BK96" s="279"/>
      <c r="BL96" s="279"/>
      <c r="BM96" s="279" t="s">
        <v>1547</v>
      </c>
      <c r="BN96" s="279"/>
      <c r="BO96" s="279"/>
      <c r="BP96" s="500">
        <f t="shared" si="173"/>
        <v>6.2E-2</v>
      </c>
      <c r="BQ96" s="973">
        <f t="shared" si="174"/>
        <v>5.5E-2</v>
      </c>
    </row>
    <row r="97" spans="1:69" s="460" customFormat="1" ht="15" customHeight="1">
      <c r="A97" s="281"/>
      <c r="B97" s="279">
        <v>446588937</v>
      </c>
      <c r="C97" s="279" t="s">
        <v>472</v>
      </c>
      <c r="D97" s="279" t="s">
        <v>528</v>
      </c>
      <c r="E97" s="279" t="s">
        <v>482</v>
      </c>
      <c r="F97" s="279" t="s">
        <v>474</v>
      </c>
      <c r="G97" s="279">
        <v>95400000</v>
      </c>
      <c r="H97" s="279">
        <v>2497</v>
      </c>
      <c r="I97" s="279">
        <v>0</v>
      </c>
      <c r="J97" s="279">
        <v>7</v>
      </c>
      <c r="K97" s="279" t="s">
        <v>475</v>
      </c>
      <c r="L97" s="279">
        <v>0</v>
      </c>
      <c r="M97" s="279" t="s">
        <v>98</v>
      </c>
      <c r="N97" s="279" t="s">
        <v>544</v>
      </c>
      <c r="O97" s="279" t="s">
        <v>1814</v>
      </c>
      <c r="P97" s="279" t="s">
        <v>566</v>
      </c>
      <c r="Q97" s="279" t="s">
        <v>1833</v>
      </c>
      <c r="R97" s="279" t="s">
        <v>1817</v>
      </c>
      <c r="S97" s="279">
        <v>80</v>
      </c>
      <c r="T97" s="279">
        <v>8.3000000000000007</v>
      </c>
      <c r="U97" s="279" t="s">
        <v>1815</v>
      </c>
      <c r="V97" s="279" t="s">
        <v>1815</v>
      </c>
      <c r="W97" s="279" t="s">
        <v>507</v>
      </c>
      <c r="X97" s="279" t="s">
        <v>484</v>
      </c>
      <c r="Y97" s="279"/>
      <c r="Z97" s="279"/>
      <c r="AA97" s="279"/>
      <c r="AB97" s="279" t="s">
        <v>486</v>
      </c>
      <c r="AC97" s="279" t="s">
        <v>490</v>
      </c>
      <c r="AD97" s="279" t="s">
        <v>491</v>
      </c>
      <c r="AE97" s="279">
        <v>88937</v>
      </c>
      <c r="AF97" s="279" t="s">
        <v>507</v>
      </c>
      <c r="AG97" s="279"/>
      <c r="AH97" s="279"/>
      <c r="AI97" s="279">
        <v>20241104</v>
      </c>
      <c r="AJ97" s="462" t="s">
        <v>937</v>
      </c>
      <c r="AK97" s="279"/>
      <c r="AL97" s="279" t="str">
        <f>IF(AB97="Y","단종모델",LEFT(N97,3)&amp;IFERROR(VLOOKUP(LEFT(N97,3)&amp;P97,#REF!,2,0),""))</f>
        <v>GNS</v>
      </c>
      <c r="AM97" s="469" t="str">
        <f t="shared" si="160"/>
        <v>GV80 가솔린 터보 2.5 BLACK AWD (7인승)</v>
      </c>
      <c r="AN97" s="279">
        <f t="shared" si="161"/>
        <v>95400000</v>
      </c>
      <c r="AO97" s="279">
        <f t="shared" si="162"/>
        <v>2497</v>
      </c>
      <c r="AP97" s="279" t="str">
        <f t="shared" si="163"/>
        <v>M</v>
      </c>
      <c r="AQ97" s="279">
        <f t="shared" si="164"/>
        <v>7</v>
      </c>
      <c r="AR97" s="279" t="str">
        <f t="shared" si="165"/>
        <v>RV</v>
      </c>
      <c r="AS97" s="279" t="str">
        <f t="shared" si="166"/>
        <v>다인승</v>
      </c>
      <c r="AT97" s="279" t="str">
        <f t="shared" si="167"/>
        <v>7급</v>
      </c>
      <c r="AU97" s="279" t="str">
        <f t="shared" si="168"/>
        <v>03:울산대형</v>
      </c>
      <c r="AV97" s="279">
        <f t="shared" si="169"/>
        <v>0</v>
      </c>
      <c r="AW97" s="279" t="str">
        <f t="shared" si="170"/>
        <v>D</v>
      </c>
      <c r="AX97" s="279" t="str">
        <f t="shared" si="171"/>
        <v>전략P</v>
      </c>
      <c r="AY97" s="468">
        <v>0.02</v>
      </c>
      <c r="AZ97" s="468"/>
      <c r="BA97" s="279" t="s">
        <v>1840</v>
      </c>
      <c r="BB97" s="279" t="s">
        <v>1552</v>
      </c>
      <c r="BC97" s="279"/>
      <c r="BD97" s="279" t="s">
        <v>1184</v>
      </c>
      <c r="BE97" s="279" t="str">
        <f t="shared" si="172"/>
        <v>제네시스</v>
      </c>
      <c r="BF97" s="581">
        <v>4.1000000000000002E-2</v>
      </c>
      <c r="BG97" s="281">
        <v>82000</v>
      </c>
      <c r="BH97" s="281">
        <v>331000</v>
      </c>
      <c r="BI97" s="279"/>
      <c r="BJ97" s="279"/>
      <c r="BK97" s="279"/>
      <c r="BL97" s="279"/>
      <c r="BM97" s="279" t="s">
        <v>1547</v>
      </c>
      <c r="BN97" s="279"/>
      <c r="BO97" s="279"/>
      <c r="BP97" s="500">
        <f t="shared" si="173"/>
        <v>6.2E-2</v>
      </c>
      <c r="BQ97" s="973">
        <f t="shared" si="174"/>
        <v>5.5E-2</v>
      </c>
    </row>
    <row r="98" spans="1:69" s="460" customFormat="1" ht="15" customHeight="1">
      <c r="A98" s="281">
        <v>83</v>
      </c>
      <c r="B98" s="279">
        <v>446586607</v>
      </c>
      <c r="C98" s="279" t="s">
        <v>472</v>
      </c>
      <c r="D98" s="279" t="s">
        <v>528</v>
      </c>
      <c r="E98" s="279" t="s">
        <v>482</v>
      </c>
      <c r="F98" s="279" t="s">
        <v>474</v>
      </c>
      <c r="G98" s="279">
        <v>74800000</v>
      </c>
      <c r="H98" s="279">
        <v>3470</v>
      </c>
      <c r="I98" s="279">
        <v>0</v>
      </c>
      <c r="J98" s="279">
        <v>5</v>
      </c>
      <c r="K98" s="279" t="s">
        <v>475</v>
      </c>
      <c r="L98" s="279">
        <v>0</v>
      </c>
      <c r="M98" s="279" t="s">
        <v>98</v>
      </c>
      <c r="N98" s="279" t="s">
        <v>544</v>
      </c>
      <c r="O98" s="279" t="s">
        <v>1209</v>
      </c>
      <c r="P98" s="279" t="s">
        <v>566</v>
      </c>
      <c r="Q98" s="279" t="s">
        <v>899</v>
      </c>
      <c r="R98" s="279" t="s">
        <v>1206</v>
      </c>
      <c r="S98" s="279">
        <v>80</v>
      </c>
      <c r="T98" s="279">
        <v>8.6</v>
      </c>
      <c r="U98" s="279" t="s">
        <v>550</v>
      </c>
      <c r="V98" s="279" t="s">
        <v>550</v>
      </c>
      <c r="W98" s="279" t="s">
        <v>473</v>
      </c>
      <c r="X98" s="279" t="s">
        <v>484</v>
      </c>
      <c r="Y98" s="279"/>
      <c r="Z98" s="279"/>
      <c r="AA98" s="279"/>
      <c r="AB98" s="279" t="s">
        <v>486</v>
      </c>
      <c r="AC98" s="279" t="s">
        <v>490</v>
      </c>
      <c r="AD98" s="279" t="s">
        <v>491</v>
      </c>
      <c r="AE98" s="279">
        <v>86607</v>
      </c>
      <c r="AF98" s="279" t="s">
        <v>473</v>
      </c>
      <c r="AG98" s="279"/>
      <c r="AH98" s="279"/>
      <c r="AI98" s="279">
        <v>20231012</v>
      </c>
      <c r="AJ98" s="462" t="s">
        <v>937</v>
      </c>
      <c r="AK98" s="279"/>
      <c r="AL98" s="279" t="str">
        <f>IF(AB98="Y","단종모델",LEFT(N98,3)&amp;IFERROR(VLOOKUP(LEFT(N98,3)&amp;P98,#REF!,2,0),""))</f>
        <v>GNS</v>
      </c>
      <c r="AM98" s="469" t="str">
        <f t="shared" si="131"/>
        <v>GV80 가솔린 터보 3.5 (5인승)</v>
      </c>
      <c r="AN98" s="279">
        <f t="shared" si="125"/>
        <v>74800000</v>
      </c>
      <c r="AO98" s="279">
        <f t="shared" si="126"/>
        <v>3470</v>
      </c>
      <c r="AP98" s="279" t="str">
        <f t="shared" si="127"/>
        <v>M</v>
      </c>
      <c r="AQ98" s="279">
        <f t="shared" si="128"/>
        <v>5</v>
      </c>
      <c r="AR98" s="279" t="str">
        <f t="shared" si="129"/>
        <v>RV</v>
      </c>
      <c r="AS98" s="279" t="str">
        <f t="shared" si="130"/>
        <v>승용</v>
      </c>
      <c r="AT98" s="279" t="str">
        <f t="shared" si="111"/>
        <v>7급</v>
      </c>
      <c r="AU98" s="279" t="str">
        <f t="shared" si="112"/>
        <v>03:울산대형</v>
      </c>
      <c r="AV98" s="279">
        <f t="shared" si="150"/>
        <v>0</v>
      </c>
      <c r="AW98" s="279" t="str">
        <f t="shared" si="113"/>
        <v>D</v>
      </c>
      <c r="AX98" s="279" t="str">
        <f t="shared" si="114"/>
        <v>전략P</v>
      </c>
      <c r="AY98" s="468">
        <v>0.02</v>
      </c>
      <c r="AZ98" s="468"/>
      <c r="BA98" s="279" t="s">
        <v>1551</v>
      </c>
      <c r="BB98" s="279" t="s">
        <v>1555</v>
      </c>
      <c r="BC98" s="279"/>
      <c r="BD98" s="279" t="s">
        <v>1184</v>
      </c>
      <c r="BE98" s="279" t="str">
        <f t="shared" si="149"/>
        <v>제네시스</v>
      </c>
      <c r="BF98" s="581">
        <v>4.1000000000000002E-2</v>
      </c>
      <c r="BG98" s="281">
        <v>82000</v>
      </c>
      <c r="BH98" s="281">
        <v>331000</v>
      </c>
      <c r="BI98" s="279"/>
      <c r="BJ98" s="279"/>
      <c r="BK98" s="279"/>
      <c r="BL98" s="279"/>
      <c r="BM98" s="279" t="s">
        <v>1547</v>
      </c>
      <c r="BN98" s="279"/>
      <c r="BO98" s="279"/>
      <c r="BP98" s="500">
        <f t="shared" si="173"/>
        <v>6.2E-2</v>
      </c>
      <c r="BQ98" s="973">
        <f t="shared" si="174"/>
        <v>5.5E-2</v>
      </c>
    </row>
    <row r="99" spans="1:69" s="460" customFormat="1" ht="15" customHeight="1">
      <c r="A99" s="281">
        <v>84</v>
      </c>
      <c r="B99" s="279">
        <v>446586608</v>
      </c>
      <c r="C99" s="279" t="s">
        <v>472</v>
      </c>
      <c r="D99" s="279" t="s">
        <v>528</v>
      </c>
      <c r="E99" s="279" t="s">
        <v>482</v>
      </c>
      <c r="F99" s="279" t="s">
        <v>474</v>
      </c>
      <c r="G99" s="279">
        <v>77300000</v>
      </c>
      <c r="H99" s="279">
        <v>3470</v>
      </c>
      <c r="I99" s="279">
        <v>0</v>
      </c>
      <c r="J99" s="279">
        <v>6</v>
      </c>
      <c r="K99" s="279" t="s">
        <v>475</v>
      </c>
      <c r="L99" s="279">
        <v>0</v>
      </c>
      <c r="M99" s="279" t="s">
        <v>98</v>
      </c>
      <c r="N99" s="279" t="s">
        <v>544</v>
      </c>
      <c r="O99" s="279" t="s">
        <v>1209</v>
      </c>
      <c r="P99" s="279" t="s">
        <v>566</v>
      </c>
      <c r="Q99" s="279" t="s">
        <v>899</v>
      </c>
      <c r="R99" s="279" t="s">
        <v>1207</v>
      </c>
      <c r="S99" s="279">
        <v>80</v>
      </c>
      <c r="T99" s="279">
        <v>8.6</v>
      </c>
      <c r="U99" s="279" t="s">
        <v>550</v>
      </c>
      <c r="V99" s="279" t="s">
        <v>550</v>
      </c>
      <c r="W99" s="279" t="s">
        <v>473</v>
      </c>
      <c r="X99" s="279" t="s">
        <v>484</v>
      </c>
      <c r="Y99" s="279"/>
      <c r="Z99" s="279"/>
      <c r="AA99" s="279"/>
      <c r="AB99" s="279" t="s">
        <v>486</v>
      </c>
      <c r="AC99" s="279" t="s">
        <v>490</v>
      </c>
      <c r="AD99" s="279" t="s">
        <v>491</v>
      </c>
      <c r="AE99" s="279">
        <v>86608</v>
      </c>
      <c r="AF99" s="279" t="s">
        <v>473</v>
      </c>
      <c r="AG99" s="279"/>
      <c r="AH99" s="279"/>
      <c r="AI99" s="279">
        <v>20231012</v>
      </c>
      <c r="AJ99" s="462" t="s">
        <v>1153</v>
      </c>
      <c r="AK99" s="279"/>
      <c r="AL99" s="279" t="str">
        <f>IF(AB99="Y","단종모델",LEFT(N99,3)&amp;IFERROR(VLOOKUP(LEFT(N99,3)&amp;P99,#REF!,2,0),""))</f>
        <v>GNS</v>
      </c>
      <c r="AM99" s="469" t="str">
        <f t="shared" si="131"/>
        <v>GV80 가솔린 터보 3.5 (6인승)</v>
      </c>
      <c r="AN99" s="279">
        <f t="shared" si="125"/>
        <v>77300000</v>
      </c>
      <c r="AO99" s="279">
        <f t="shared" si="126"/>
        <v>3470</v>
      </c>
      <c r="AP99" s="279" t="str">
        <f t="shared" si="127"/>
        <v>M</v>
      </c>
      <c r="AQ99" s="279">
        <f t="shared" si="128"/>
        <v>6</v>
      </c>
      <c r="AR99" s="279" t="str">
        <f t="shared" si="129"/>
        <v>RV</v>
      </c>
      <c r="AS99" s="279" t="str">
        <f t="shared" si="130"/>
        <v>승용</v>
      </c>
      <c r="AT99" s="279" t="str">
        <f t="shared" si="111"/>
        <v>7급</v>
      </c>
      <c r="AU99" s="279" t="str">
        <f t="shared" si="112"/>
        <v>03:울산대형</v>
      </c>
      <c r="AV99" s="279">
        <f t="shared" si="150"/>
        <v>0</v>
      </c>
      <c r="AW99" s="279" t="str">
        <f t="shared" si="113"/>
        <v>D</v>
      </c>
      <c r="AX99" s="279" t="str">
        <f t="shared" si="114"/>
        <v>전략P</v>
      </c>
      <c r="AY99" s="468">
        <v>0.02</v>
      </c>
      <c r="AZ99" s="468"/>
      <c r="BA99" s="279" t="s">
        <v>1551</v>
      </c>
      <c r="BB99" s="279" t="s">
        <v>1555</v>
      </c>
      <c r="BC99" s="279"/>
      <c r="BD99" s="279" t="s">
        <v>1184</v>
      </c>
      <c r="BE99" s="279" t="str">
        <f t="shared" si="149"/>
        <v>제네시스</v>
      </c>
      <c r="BF99" s="581">
        <v>4.1000000000000002E-2</v>
      </c>
      <c r="BG99" s="281">
        <v>82000</v>
      </c>
      <c r="BH99" s="281">
        <v>331000</v>
      </c>
      <c r="BI99" s="279"/>
      <c r="BJ99" s="279"/>
      <c r="BK99" s="279"/>
      <c r="BL99" s="279"/>
      <c r="BM99" s="279" t="s">
        <v>1547</v>
      </c>
      <c r="BN99" s="279"/>
      <c r="BO99" s="279"/>
      <c r="BP99" s="500">
        <f t="shared" si="147"/>
        <v>6.2E-2</v>
      </c>
      <c r="BQ99" s="973">
        <f t="shared" si="148"/>
        <v>5.5E-2</v>
      </c>
    </row>
    <row r="100" spans="1:69" s="460" customFormat="1" ht="15" customHeight="1">
      <c r="A100" s="281">
        <v>85</v>
      </c>
      <c r="B100" s="279">
        <v>446586609</v>
      </c>
      <c r="C100" s="279" t="s">
        <v>472</v>
      </c>
      <c r="D100" s="279" t="s">
        <v>528</v>
      </c>
      <c r="E100" s="279" t="s">
        <v>482</v>
      </c>
      <c r="F100" s="279" t="s">
        <v>474</v>
      </c>
      <c r="G100" s="279">
        <v>75800000</v>
      </c>
      <c r="H100" s="279">
        <v>3470</v>
      </c>
      <c r="I100" s="279">
        <v>0</v>
      </c>
      <c r="J100" s="279">
        <v>7</v>
      </c>
      <c r="K100" s="279" t="s">
        <v>475</v>
      </c>
      <c r="L100" s="279">
        <v>0</v>
      </c>
      <c r="M100" s="279" t="s">
        <v>98</v>
      </c>
      <c r="N100" s="279" t="s">
        <v>544</v>
      </c>
      <c r="O100" s="279" t="s">
        <v>1209</v>
      </c>
      <c r="P100" s="279" t="s">
        <v>566</v>
      </c>
      <c r="Q100" s="279" t="s">
        <v>899</v>
      </c>
      <c r="R100" s="279" t="s">
        <v>1208</v>
      </c>
      <c r="S100" s="279">
        <v>80</v>
      </c>
      <c r="T100" s="279">
        <v>8.6</v>
      </c>
      <c r="U100" s="279" t="s">
        <v>550</v>
      </c>
      <c r="V100" s="279" t="s">
        <v>550</v>
      </c>
      <c r="W100" s="279" t="s">
        <v>507</v>
      </c>
      <c r="X100" s="279" t="s">
        <v>484</v>
      </c>
      <c r="Y100" s="279"/>
      <c r="Z100" s="279"/>
      <c r="AA100" s="279"/>
      <c r="AB100" s="279" t="s">
        <v>486</v>
      </c>
      <c r="AC100" s="279" t="s">
        <v>490</v>
      </c>
      <c r="AD100" s="279" t="s">
        <v>491</v>
      </c>
      <c r="AE100" s="279">
        <v>86609</v>
      </c>
      <c r="AF100" s="279" t="s">
        <v>507</v>
      </c>
      <c r="AG100" s="279"/>
      <c r="AH100" s="279"/>
      <c r="AI100" s="279">
        <v>20231012</v>
      </c>
      <c r="AJ100" s="462" t="s">
        <v>1153</v>
      </c>
      <c r="AK100" s="279"/>
      <c r="AL100" s="279" t="str">
        <f>IF(AB100="Y","단종모델",LEFT(N100,3)&amp;IFERROR(VLOOKUP(LEFT(N100,3)&amp;P100,#REF!,2,0),""))</f>
        <v>GNS</v>
      </c>
      <c r="AM100" s="469" t="str">
        <f t="shared" si="131"/>
        <v>GV80 가솔린 터보 3.5 (7인승)</v>
      </c>
      <c r="AN100" s="279">
        <f t="shared" si="125"/>
        <v>75800000</v>
      </c>
      <c r="AO100" s="279">
        <f t="shared" si="126"/>
        <v>3470</v>
      </c>
      <c r="AP100" s="279" t="str">
        <f t="shared" si="127"/>
        <v>M</v>
      </c>
      <c r="AQ100" s="279">
        <f t="shared" si="128"/>
        <v>7</v>
      </c>
      <c r="AR100" s="279" t="str">
        <f t="shared" si="129"/>
        <v>RV</v>
      </c>
      <c r="AS100" s="279" t="str">
        <f t="shared" si="130"/>
        <v>다인승</v>
      </c>
      <c r="AT100" s="279" t="str">
        <f t="shared" si="111"/>
        <v>7급</v>
      </c>
      <c r="AU100" s="279" t="str">
        <f t="shared" si="112"/>
        <v>03:울산대형</v>
      </c>
      <c r="AV100" s="279">
        <f t="shared" si="150"/>
        <v>0</v>
      </c>
      <c r="AW100" s="279" t="str">
        <f t="shared" si="113"/>
        <v>D</v>
      </c>
      <c r="AX100" s="279" t="str">
        <f t="shared" si="114"/>
        <v>전략P</v>
      </c>
      <c r="AY100" s="468">
        <v>0.02</v>
      </c>
      <c r="AZ100" s="468"/>
      <c r="BA100" s="279" t="s">
        <v>1551</v>
      </c>
      <c r="BB100" s="279" t="s">
        <v>1555</v>
      </c>
      <c r="BC100" s="279"/>
      <c r="BD100" s="279" t="s">
        <v>1184</v>
      </c>
      <c r="BE100" s="279" t="str">
        <f t="shared" si="149"/>
        <v>제네시스</v>
      </c>
      <c r="BF100" s="581">
        <v>4.1000000000000002E-2</v>
      </c>
      <c r="BG100" s="281">
        <v>82000</v>
      </c>
      <c r="BH100" s="281">
        <v>331000</v>
      </c>
      <c r="BI100" s="279"/>
      <c r="BJ100" s="279"/>
      <c r="BK100" s="279"/>
      <c r="BL100" s="279"/>
      <c r="BM100" s="279" t="s">
        <v>1547</v>
      </c>
      <c r="BN100" s="279"/>
      <c r="BO100" s="279"/>
      <c r="BP100" s="500">
        <f t="shared" si="147"/>
        <v>6.2E-2</v>
      </c>
      <c r="BQ100" s="973">
        <f t="shared" si="148"/>
        <v>5.5E-2</v>
      </c>
    </row>
    <row r="101" spans="1:69" s="460" customFormat="1" ht="15" customHeight="1">
      <c r="A101" s="281">
        <v>86</v>
      </c>
      <c r="B101" s="279">
        <v>446588815</v>
      </c>
      <c r="C101" s="279" t="s">
        <v>472</v>
      </c>
      <c r="D101" s="279" t="s">
        <v>528</v>
      </c>
      <c r="E101" s="279" t="s">
        <v>482</v>
      </c>
      <c r="F101" s="279" t="s">
        <v>474</v>
      </c>
      <c r="G101" s="279">
        <v>98600000</v>
      </c>
      <c r="H101" s="279">
        <v>3470</v>
      </c>
      <c r="I101" s="279">
        <v>0</v>
      </c>
      <c r="J101" s="279">
        <v>5</v>
      </c>
      <c r="K101" s="279" t="s">
        <v>475</v>
      </c>
      <c r="L101" s="279">
        <v>0</v>
      </c>
      <c r="M101" s="279" t="s">
        <v>98</v>
      </c>
      <c r="N101" s="279" t="s">
        <v>544</v>
      </c>
      <c r="O101" s="279" t="s">
        <v>1814</v>
      </c>
      <c r="P101" s="279" t="s">
        <v>566</v>
      </c>
      <c r="Q101" s="279" t="s">
        <v>899</v>
      </c>
      <c r="R101" s="279" t="s">
        <v>1355</v>
      </c>
      <c r="S101" s="279">
        <v>80</v>
      </c>
      <c r="T101" s="279">
        <v>7.7</v>
      </c>
      <c r="U101" s="279" t="s">
        <v>1815</v>
      </c>
      <c r="V101" s="279" t="s">
        <v>1815</v>
      </c>
      <c r="W101" s="279" t="s">
        <v>473</v>
      </c>
      <c r="X101" s="279" t="s">
        <v>484</v>
      </c>
      <c r="Y101" s="279"/>
      <c r="Z101" s="279"/>
      <c r="AA101" s="279"/>
      <c r="AB101" s="279" t="s">
        <v>486</v>
      </c>
      <c r="AC101" s="279" t="s">
        <v>490</v>
      </c>
      <c r="AD101" s="279" t="s">
        <v>491</v>
      </c>
      <c r="AE101" s="279">
        <v>88815</v>
      </c>
      <c r="AF101" s="279" t="s">
        <v>473</v>
      </c>
      <c r="AG101" s="279"/>
      <c r="AH101" s="279"/>
      <c r="AI101" s="279">
        <v>20241029</v>
      </c>
      <c r="AJ101" s="462" t="s">
        <v>937</v>
      </c>
      <c r="AK101" s="279"/>
      <c r="AL101" s="279" t="str">
        <f>IF(AB101="Y","단종모델",LEFT(N101,3)&amp;IFERROR(VLOOKUP(LEFT(N101,3)&amp;P101,#REF!,2,0),""))</f>
        <v>GNS</v>
      </c>
      <c r="AM101" s="469" t="str">
        <f t="shared" ref="AM101:AM103" si="175">O101&amp;" "&amp;Q101&amp;" "&amp;R101</f>
        <v>GV80 가솔린 터보 3.5 BLACK AWD (5인승)</v>
      </c>
      <c r="AN101" s="279">
        <f t="shared" ref="AN101:AN103" si="176">G101</f>
        <v>98600000</v>
      </c>
      <c r="AO101" s="279">
        <f t="shared" ref="AO101:AO103" si="177">H101</f>
        <v>3470</v>
      </c>
      <c r="AP101" s="279" t="str">
        <f t="shared" ref="AP101:AP103" si="178">LEFT(K101,1)</f>
        <v>M</v>
      </c>
      <c r="AQ101" s="279">
        <f t="shared" ref="AQ101:AQ103" si="179">J101</f>
        <v>5</v>
      </c>
      <c r="AR101" s="279" t="str">
        <f t="shared" ref="AR101:AR103" si="180">RIGHT(D101,2)</f>
        <v>RV</v>
      </c>
      <c r="AS101" s="279" t="str">
        <f t="shared" ref="AS101:AS103" si="181">MID(W101,4,3)</f>
        <v>승용</v>
      </c>
      <c r="AT101" s="279" t="str">
        <f t="shared" ref="AT101:AT103" si="182">RIGHT(AC101,2)</f>
        <v>7급</v>
      </c>
      <c r="AU101" s="279" t="str">
        <f t="shared" ref="AU101:AU103" si="183">AB101</f>
        <v>03:울산대형</v>
      </c>
      <c r="AV101" s="279">
        <f t="shared" ref="AV101:AV103" si="184">IF(AND(BE101="기아",AQ101&lt;7),1900,IF(AND(BE101="기아",AQ101&gt;6,AQ101&lt;11),2500,IF(AND(BE101="기아",AQ101&gt;10),3500,IF(AND(BE101="KG모빌리티",AQ101&lt;7),3650,IF(AND(BE101="KG모빌리티",AQ101&gt;6),4300,0)))))</f>
        <v>0</v>
      </c>
      <c r="AW101" s="279" t="str">
        <f t="shared" ref="AW101:AW103" si="185">LEFT(F101,1)</f>
        <v>D</v>
      </c>
      <c r="AX101" s="279" t="str">
        <f t="shared" ref="AX101:AX103" si="186">AJ101</f>
        <v>전략P</v>
      </c>
      <c r="AY101" s="468">
        <v>0.02</v>
      </c>
      <c r="AZ101" s="468"/>
      <c r="BA101" s="279" t="s">
        <v>1828</v>
      </c>
      <c r="BB101" s="279" t="s">
        <v>1555</v>
      </c>
      <c r="BC101" s="279"/>
      <c r="BD101" s="279" t="s">
        <v>1184</v>
      </c>
      <c r="BE101" s="279" t="str">
        <f t="shared" si="149"/>
        <v>제네시스</v>
      </c>
      <c r="BF101" s="581">
        <v>4.1000000000000002E-2</v>
      </c>
      <c r="BG101" s="281">
        <v>82000</v>
      </c>
      <c r="BH101" s="281">
        <v>331000</v>
      </c>
      <c r="BI101" s="279"/>
      <c r="BJ101" s="279"/>
      <c r="BK101" s="279"/>
      <c r="BL101" s="279"/>
      <c r="BM101" s="279" t="s">
        <v>1547</v>
      </c>
      <c r="BN101" s="279"/>
      <c r="BO101" s="279"/>
      <c r="BP101" s="500">
        <f t="shared" si="147"/>
        <v>6.2E-2</v>
      </c>
      <c r="BQ101" s="973">
        <f t="shared" si="148"/>
        <v>5.5E-2</v>
      </c>
    </row>
    <row r="102" spans="1:69" s="460" customFormat="1" ht="15" customHeight="1">
      <c r="A102" s="281">
        <v>87</v>
      </c>
      <c r="B102" s="279">
        <v>446588816</v>
      </c>
      <c r="C102" s="279" t="s">
        <v>472</v>
      </c>
      <c r="D102" s="279" t="s">
        <v>528</v>
      </c>
      <c r="E102" s="279" t="s">
        <v>482</v>
      </c>
      <c r="F102" s="279" t="s">
        <v>474</v>
      </c>
      <c r="G102" s="279">
        <v>101100000</v>
      </c>
      <c r="H102" s="279">
        <v>3470</v>
      </c>
      <c r="I102" s="279">
        <v>0</v>
      </c>
      <c r="J102" s="279">
        <v>6</v>
      </c>
      <c r="K102" s="279" t="s">
        <v>475</v>
      </c>
      <c r="L102" s="279">
        <v>0</v>
      </c>
      <c r="M102" s="279" t="s">
        <v>98</v>
      </c>
      <c r="N102" s="279" t="s">
        <v>544</v>
      </c>
      <c r="O102" s="279" t="s">
        <v>1814</v>
      </c>
      <c r="P102" s="279" t="s">
        <v>566</v>
      </c>
      <c r="Q102" s="279" t="s">
        <v>899</v>
      </c>
      <c r="R102" s="279" t="s">
        <v>1816</v>
      </c>
      <c r="S102" s="279">
        <v>80</v>
      </c>
      <c r="T102" s="279">
        <v>7.7</v>
      </c>
      <c r="U102" s="279" t="s">
        <v>1815</v>
      </c>
      <c r="V102" s="279" t="s">
        <v>1815</v>
      </c>
      <c r="W102" s="279" t="s">
        <v>473</v>
      </c>
      <c r="X102" s="279" t="s">
        <v>484</v>
      </c>
      <c r="Y102" s="279"/>
      <c r="Z102" s="279"/>
      <c r="AA102" s="279"/>
      <c r="AB102" s="279" t="s">
        <v>486</v>
      </c>
      <c r="AC102" s="279" t="s">
        <v>490</v>
      </c>
      <c r="AD102" s="279" t="s">
        <v>491</v>
      </c>
      <c r="AE102" s="279">
        <v>88816</v>
      </c>
      <c r="AF102" s="279" t="s">
        <v>473</v>
      </c>
      <c r="AG102" s="279"/>
      <c r="AH102" s="279"/>
      <c r="AI102" s="279">
        <v>20241029</v>
      </c>
      <c r="AJ102" s="462" t="s">
        <v>937</v>
      </c>
      <c r="AK102" s="279"/>
      <c r="AL102" s="279" t="str">
        <f>IF(AB102="Y","단종모델",LEFT(N102,3)&amp;IFERROR(VLOOKUP(LEFT(N102,3)&amp;P102,#REF!,2,0),""))</f>
        <v>GNS</v>
      </c>
      <c r="AM102" s="469" t="str">
        <f t="shared" si="175"/>
        <v>GV80 가솔린 터보 3.5 BLACK AWD (6인승)</v>
      </c>
      <c r="AN102" s="279">
        <f t="shared" si="176"/>
        <v>101100000</v>
      </c>
      <c r="AO102" s="279">
        <f t="shared" si="177"/>
        <v>3470</v>
      </c>
      <c r="AP102" s="279" t="str">
        <f t="shared" si="178"/>
        <v>M</v>
      </c>
      <c r="AQ102" s="279">
        <f t="shared" si="179"/>
        <v>6</v>
      </c>
      <c r="AR102" s="279" t="str">
        <f t="shared" si="180"/>
        <v>RV</v>
      </c>
      <c r="AS102" s="279" t="str">
        <f t="shared" si="181"/>
        <v>승용</v>
      </c>
      <c r="AT102" s="279" t="str">
        <f t="shared" si="182"/>
        <v>7급</v>
      </c>
      <c r="AU102" s="279" t="str">
        <f t="shared" si="183"/>
        <v>03:울산대형</v>
      </c>
      <c r="AV102" s="279">
        <f t="shared" si="184"/>
        <v>0</v>
      </c>
      <c r="AW102" s="279" t="str">
        <f t="shared" si="185"/>
        <v>D</v>
      </c>
      <c r="AX102" s="279" t="str">
        <f t="shared" si="186"/>
        <v>전략P</v>
      </c>
      <c r="AY102" s="468">
        <v>0.02</v>
      </c>
      <c r="AZ102" s="468"/>
      <c r="BA102" s="279" t="s">
        <v>1828</v>
      </c>
      <c r="BB102" s="279" t="s">
        <v>1555</v>
      </c>
      <c r="BC102" s="279"/>
      <c r="BD102" s="279" t="s">
        <v>1184</v>
      </c>
      <c r="BE102" s="279" t="str">
        <f t="shared" si="149"/>
        <v>제네시스</v>
      </c>
      <c r="BF102" s="581">
        <v>4.1000000000000002E-2</v>
      </c>
      <c r="BG102" s="281">
        <v>82000</v>
      </c>
      <c r="BH102" s="281">
        <v>331000</v>
      </c>
      <c r="BI102" s="279"/>
      <c r="BJ102" s="279"/>
      <c r="BK102" s="279"/>
      <c r="BL102" s="279"/>
      <c r="BM102" s="279" t="s">
        <v>1547</v>
      </c>
      <c r="BN102" s="279"/>
      <c r="BO102" s="279"/>
      <c r="BP102" s="500">
        <f t="shared" si="147"/>
        <v>6.2E-2</v>
      </c>
      <c r="BQ102" s="973">
        <f t="shared" si="148"/>
        <v>5.5E-2</v>
      </c>
    </row>
    <row r="103" spans="1:69" s="460" customFormat="1" ht="15" customHeight="1">
      <c r="A103" s="281">
        <v>88</v>
      </c>
      <c r="B103" s="279">
        <v>446588817</v>
      </c>
      <c r="C103" s="279" t="s">
        <v>472</v>
      </c>
      <c r="D103" s="279" t="s">
        <v>528</v>
      </c>
      <c r="E103" s="279" t="s">
        <v>482</v>
      </c>
      <c r="F103" s="279" t="s">
        <v>474</v>
      </c>
      <c r="G103" s="279">
        <v>99600000</v>
      </c>
      <c r="H103" s="279">
        <v>3470</v>
      </c>
      <c r="I103" s="279">
        <v>0</v>
      </c>
      <c r="J103" s="279">
        <v>7</v>
      </c>
      <c r="K103" s="279" t="s">
        <v>475</v>
      </c>
      <c r="L103" s="279">
        <v>0</v>
      </c>
      <c r="M103" s="279" t="s">
        <v>98</v>
      </c>
      <c r="N103" s="279" t="s">
        <v>544</v>
      </c>
      <c r="O103" s="279" t="s">
        <v>1814</v>
      </c>
      <c r="P103" s="279" t="s">
        <v>566</v>
      </c>
      <c r="Q103" s="279" t="s">
        <v>899</v>
      </c>
      <c r="R103" s="279" t="s">
        <v>1817</v>
      </c>
      <c r="S103" s="279">
        <v>80</v>
      </c>
      <c r="T103" s="279">
        <v>7.7</v>
      </c>
      <c r="U103" s="279" t="s">
        <v>1815</v>
      </c>
      <c r="V103" s="279" t="s">
        <v>1815</v>
      </c>
      <c r="W103" s="279" t="s">
        <v>507</v>
      </c>
      <c r="X103" s="279" t="s">
        <v>484</v>
      </c>
      <c r="Y103" s="279"/>
      <c r="Z103" s="279"/>
      <c r="AA103" s="279"/>
      <c r="AB103" s="279" t="s">
        <v>486</v>
      </c>
      <c r="AC103" s="279" t="s">
        <v>490</v>
      </c>
      <c r="AD103" s="279" t="s">
        <v>491</v>
      </c>
      <c r="AE103" s="279">
        <v>88817</v>
      </c>
      <c r="AF103" s="279" t="s">
        <v>507</v>
      </c>
      <c r="AG103" s="279"/>
      <c r="AH103" s="279"/>
      <c r="AI103" s="279">
        <v>20241029</v>
      </c>
      <c r="AJ103" s="462" t="s">
        <v>937</v>
      </c>
      <c r="AK103" s="279"/>
      <c r="AL103" s="279" t="str">
        <f>IF(AB103="Y","단종모델",LEFT(N103,3)&amp;IFERROR(VLOOKUP(LEFT(N103,3)&amp;P103,#REF!,2,0),""))</f>
        <v>GNS</v>
      </c>
      <c r="AM103" s="469" t="str">
        <f t="shared" si="175"/>
        <v>GV80 가솔린 터보 3.5 BLACK AWD (7인승)</v>
      </c>
      <c r="AN103" s="279">
        <f t="shared" si="176"/>
        <v>99600000</v>
      </c>
      <c r="AO103" s="279">
        <f t="shared" si="177"/>
        <v>3470</v>
      </c>
      <c r="AP103" s="279" t="str">
        <f t="shared" si="178"/>
        <v>M</v>
      </c>
      <c r="AQ103" s="279">
        <f t="shared" si="179"/>
        <v>7</v>
      </c>
      <c r="AR103" s="279" t="str">
        <f t="shared" si="180"/>
        <v>RV</v>
      </c>
      <c r="AS103" s="279" t="str">
        <f t="shared" si="181"/>
        <v>다인승</v>
      </c>
      <c r="AT103" s="279" t="str">
        <f t="shared" si="182"/>
        <v>7급</v>
      </c>
      <c r="AU103" s="279" t="str">
        <f t="shared" si="183"/>
        <v>03:울산대형</v>
      </c>
      <c r="AV103" s="279">
        <f t="shared" si="184"/>
        <v>0</v>
      </c>
      <c r="AW103" s="279" t="str">
        <f t="shared" si="185"/>
        <v>D</v>
      </c>
      <c r="AX103" s="279" t="str">
        <f t="shared" si="186"/>
        <v>전략P</v>
      </c>
      <c r="AY103" s="468">
        <v>0.02</v>
      </c>
      <c r="AZ103" s="468"/>
      <c r="BA103" s="279" t="s">
        <v>1828</v>
      </c>
      <c r="BB103" s="279" t="s">
        <v>1555</v>
      </c>
      <c r="BC103" s="279"/>
      <c r="BD103" s="279" t="s">
        <v>1184</v>
      </c>
      <c r="BE103" s="279" t="str">
        <f t="shared" si="149"/>
        <v>제네시스</v>
      </c>
      <c r="BF103" s="581">
        <v>4.1000000000000002E-2</v>
      </c>
      <c r="BG103" s="281">
        <v>82000</v>
      </c>
      <c r="BH103" s="281">
        <v>331000</v>
      </c>
      <c r="BI103" s="279"/>
      <c r="BJ103" s="279"/>
      <c r="BK103" s="279"/>
      <c r="BL103" s="279"/>
      <c r="BM103" s="279" t="s">
        <v>1547</v>
      </c>
      <c r="BN103" s="279"/>
      <c r="BO103" s="279"/>
      <c r="BP103" s="500">
        <f t="shared" si="147"/>
        <v>6.2E-2</v>
      </c>
      <c r="BQ103" s="973">
        <f t="shared" si="148"/>
        <v>5.5E-2</v>
      </c>
    </row>
    <row r="104" spans="1:69" s="460" customFormat="1" ht="15" customHeight="1">
      <c r="A104" s="281">
        <v>89</v>
      </c>
      <c r="B104" s="279">
        <v>446586613</v>
      </c>
      <c r="C104" s="279" t="s">
        <v>472</v>
      </c>
      <c r="D104" s="279" t="s">
        <v>528</v>
      </c>
      <c r="E104" s="279" t="s">
        <v>482</v>
      </c>
      <c r="F104" s="279" t="s">
        <v>474</v>
      </c>
      <c r="G104" s="279">
        <v>82550000</v>
      </c>
      <c r="H104" s="279">
        <v>2497</v>
      </c>
      <c r="I104" s="279">
        <v>0</v>
      </c>
      <c r="J104" s="279">
        <v>5</v>
      </c>
      <c r="K104" s="279" t="s">
        <v>475</v>
      </c>
      <c r="L104" s="279">
        <v>0</v>
      </c>
      <c r="M104" s="279" t="s">
        <v>98</v>
      </c>
      <c r="N104" s="279" t="s">
        <v>544</v>
      </c>
      <c r="O104" s="279" t="s">
        <v>1209</v>
      </c>
      <c r="P104" s="279" t="s">
        <v>566</v>
      </c>
      <c r="Q104" s="279" t="s">
        <v>1202</v>
      </c>
      <c r="R104" s="279"/>
      <c r="S104" s="279">
        <v>80</v>
      </c>
      <c r="T104" s="279">
        <v>8.1999999999999993</v>
      </c>
      <c r="U104" s="279" t="s">
        <v>550</v>
      </c>
      <c r="V104" s="279" t="s">
        <v>550</v>
      </c>
      <c r="W104" s="279" t="s">
        <v>473</v>
      </c>
      <c r="X104" s="279" t="s">
        <v>484</v>
      </c>
      <c r="Y104" s="279"/>
      <c r="Z104" s="279"/>
      <c r="AA104" s="279"/>
      <c r="AB104" s="279" t="s">
        <v>486</v>
      </c>
      <c r="AC104" s="279" t="s">
        <v>490</v>
      </c>
      <c r="AD104" s="279" t="s">
        <v>491</v>
      </c>
      <c r="AE104" s="279">
        <v>86613</v>
      </c>
      <c r="AF104" s="279" t="s">
        <v>473</v>
      </c>
      <c r="AG104" s="279"/>
      <c r="AH104" s="279"/>
      <c r="AI104" s="279">
        <v>20231012</v>
      </c>
      <c r="AJ104" s="462" t="s">
        <v>1153</v>
      </c>
      <c r="AK104" s="279"/>
      <c r="AL104" s="279" t="str">
        <f>IF(AB104="Y","단종모델",LEFT(N104,3)&amp;IFERROR(VLOOKUP(LEFT(N104,3)&amp;P104,#REF!,2,0),""))</f>
        <v>GNS</v>
      </c>
      <c r="AM104" s="469" t="str">
        <f t="shared" si="131"/>
        <v xml:space="preserve">GV80 쿠페 가솔린 터보 2.5 </v>
      </c>
      <c r="AN104" s="279">
        <f t="shared" si="125"/>
        <v>82550000</v>
      </c>
      <c r="AO104" s="279">
        <f t="shared" si="126"/>
        <v>2497</v>
      </c>
      <c r="AP104" s="279" t="str">
        <f t="shared" si="127"/>
        <v>M</v>
      </c>
      <c r="AQ104" s="279">
        <f t="shared" si="128"/>
        <v>5</v>
      </c>
      <c r="AR104" s="279" t="str">
        <f t="shared" si="129"/>
        <v>RV</v>
      </c>
      <c r="AS104" s="279" t="str">
        <f t="shared" si="130"/>
        <v>승용</v>
      </c>
      <c r="AT104" s="279" t="str">
        <f t="shared" si="111"/>
        <v>7급</v>
      </c>
      <c r="AU104" s="279" t="str">
        <f t="shared" si="112"/>
        <v>03:울산대형</v>
      </c>
      <c r="AV104" s="279">
        <f t="shared" si="150"/>
        <v>0</v>
      </c>
      <c r="AW104" s="279" t="str">
        <f t="shared" si="113"/>
        <v>D</v>
      </c>
      <c r="AX104" s="279" t="str">
        <f t="shared" si="114"/>
        <v>전략P</v>
      </c>
      <c r="AY104" s="468">
        <v>0.02</v>
      </c>
      <c r="AZ104" s="468"/>
      <c r="BA104" s="279" t="s">
        <v>1644</v>
      </c>
      <c r="BB104" s="279" t="s">
        <v>1552</v>
      </c>
      <c r="BC104" s="279"/>
      <c r="BD104" s="279" t="s">
        <v>1184</v>
      </c>
      <c r="BE104" s="279" t="str">
        <f t="shared" si="149"/>
        <v>제네시스</v>
      </c>
      <c r="BF104" s="581">
        <v>4.1000000000000002E-2</v>
      </c>
      <c r="BG104" s="281">
        <v>82000</v>
      </c>
      <c r="BH104" s="281">
        <v>331000</v>
      </c>
      <c r="BI104" s="279"/>
      <c r="BJ104" s="279"/>
      <c r="BK104" s="279"/>
      <c r="BL104" s="279"/>
      <c r="BM104" s="279" t="s">
        <v>1547</v>
      </c>
      <c r="BN104" s="279"/>
      <c r="BO104" s="279"/>
      <c r="BP104" s="500">
        <f t="shared" si="147"/>
        <v>6.2E-2</v>
      </c>
      <c r="BQ104" s="973">
        <f t="shared" si="148"/>
        <v>5.5E-2</v>
      </c>
    </row>
    <row r="105" spans="1:69" s="460" customFormat="1" ht="15" customHeight="1">
      <c r="A105" s="281"/>
      <c r="B105" s="279">
        <v>446588938</v>
      </c>
      <c r="C105" s="279" t="s">
        <v>472</v>
      </c>
      <c r="D105" s="279" t="s">
        <v>528</v>
      </c>
      <c r="E105" s="279" t="s">
        <v>482</v>
      </c>
      <c r="F105" s="279" t="s">
        <v>474</v>
      </c>
      <c r="G105" s="279">
        <v>100300000</v>
      </c>
      <c r="H105" s="279">
        <v>2497</v>
      </c>
      <c r="I105" s="279">
        <v>0</v>
      </c>
      <c r="J105" s="279">
        <v>5</v>
      </c>
      <c r="K105" s="279" t="s">
        <v>475</v>
      </c>
      <c r="L105" s="279">
        <v>0</v>
      </c>
      <c r="M105" s="279" t="s">
        <v>98</v>
      </c>
      <c r="N105" s="279" t="s">
        <v>544</v>
      </c>
      <c r="O105" s="279" t="s">
        <v>1814</v>
      </c>
      <c r="P105" s="279" t="s">
        <v>566</v>
      </c>
      <c r="Q105" s="279" t="s">
        <v>1834</v>
      </c>
      <c r="R105" s="279" t="s">
        <v>1818</v>
      </c>
      <c r="S105" s="279">
        <v>80</v>
      </c>
      <c r="T105" s="279">
        <v>8.1999999999999993</v>
      </c>
      <c r="U105" s="279" t="s">
        <v>1815</v>
      </c>
      <c r="V105" s="279" t="s">
        <v>1815</v>
      </c>
      <c r="W105" s="279" t="s">
        <v>473</v>
      </c>
      <c r="X105" s="279" t="s">
        <v>484</v>
      </c>
      <c r="Y105" s="279"/>
      <c r="Z105" s="279"/>
      <c r="AA105" s="279"/>
      <c r="AB105" s="279" t="s">
        <v>486</v>
      </c>
      <c r="AC105" s="279" t="s">
        <v>490</v>
      </c>
      <c r="AD105" s="279" t="s">
        <v>491</v>
      </c>
      <c r="AE105" s="279">
        <v>88938</v>
      </c>
      <c r="AF105" s="279" t="s">
        <v>473</v>
      </c>
      <c r="AI105" s="279">
        <v>20241104</v>
      </c>
      <c r="AJ105" s="462" t="s">
        <v>937</v>
      </c>
      <c r="AK105" s="279"/>
      <c r="AL105" s="279" t="str">
        <f>IF(AB105="Y","단종모델",LEFT(N105,3)&amp;IFERROR(VLOOKUP(LEFT(N105,3)&amp;P105,#REF!,2,0),""))</f>
        <v>GNS</v>
      </c>
      <c r="AM105" s="469" t="str">
        <f t="shared" ref="AM105" si="187">O105&amp;" "&amp;Q105&amp;" "&amp;R105</f>
        <v>GV80 쿠페 가솔린 터보 2.5 BLACK AWD (5인승) Coupe</v>
      </c>
      <c r="AN105" s="279">
        <f t="shared" ref="AN105" si="188">G105</f>
        <v>100300000</v>
      </c>
      <c r="AO105" s="279">
        <f t="shared" ref="AO105" si="189">H105</f>
        <v>2497</v>
      </c>
      <c r="AP105" s="279" t="str">
        <f t="shared" ref="AP105" si="190">LEFT(K105,1)</f>
        <v>M</v>
      </c>
      <c r="AQ105" s="279">
        <f t="shared" ref="AQ105" si="191">J105</f>
        <v>5</v>
      </c>
      <c r="AR105" s="279" t="str">
        <f t="shared" ref="AR105" si="192">RIGHT(D105,2)</f>
        <v>RV</v>
      </c>
      <c r="AS105" s="279" t="str">
        <f t="shared" ref="AS105" si="193">MID(W105,4,3)</f>
        <v>승용</v>
      </c>
      <c r="AT105" s="279" t="str">
        <f t="shared" ref="AT105" si="194">RIGHT(AC105,2)</f>
        <v>7급</v>
      </c>
      <c r="AU105" s="279" t="str">
        <f t="shared" ref="AU105" si="195">AB105</f>
        <v>03:울산대형</v>
      </c>
      <c r="AV105" s="279">
        <f t="shared" ref="AV105" si="196">IF(AND(BE105="기아",AQ105&lt;7),1900,IF(AND(BE105="기아",AQ105&gt;6,AQ105&lt;11),2500,IF(AND(BE105="기아",AQ105&gt;10),3500,IF(AND(BE105="KG모빌리티",AQ105&lt;7),3650,IF(AND(BE105="KG모빌리티",AQ105&gt;6),4300,0)))))</f>
        <v>0</v>
      </c>
      <c r="AW105" s="279" t="str">
        <f t="shared" ref="AW105" si="197">LEFT(F105,1)</f>
        <v>D</v>
      </c>
      <c r="AX105" s="279" t="str">
        <f t="shared" ref="AX105" si="198">AJ105</f>
        <v>전략P</v>
      </c>
      <c r="AY105" s="468">
        <v>0.02</v>
      </c>
      <c r="AZ105" s="468"/>
      <c r="BA105" s="279" t="s">
        <v>1841</v>
      </c>
      <c r="BB105" s="279" t="s">
        <v>1842</v>
      </c>
      <c r="BC105" s="279"/>
      <c r="BD105" s="279" t="s">
        <v>1184</v>
      </c>
      <c r="BE105" s="279" t="str">
        <f t="shared" si="149"/>
        <v>제네시스</v>
      </c>
      <c r="BF105" s="581">
        <v>4.1000000000000002E-2</v>
      </c>
      <c r="BG105" s="281">
        <v>82000</v>
      </c>
      <c r="BH105" s="281">
        <v>331000</v>
      </c>
      <c r="BI105" s="279"/>
      <c r="BJ105" s="279"/>
      <c r="BK105" s="279"/>
      <c r="BL105" s="279"/>
      <c r="BM105" s="279" t="s">
        <v>1547</v>
      </c>
      <c r="BN105" s="279"/>
      <c r="BO105" s="279"/>
      <c r="BP105" s="500">
        <f t="shared" si="147"/>
        <v>6.2E-2</v>
      </c>
      <c r="BQ105" s="973">
        <f t="shared" si="148"/>
        <v>5.5E-2</v>
      </c>
    </row>
    <row r="106" spans="1:69" s="460" customFormat="1" ht="15" customHeight="1">
      <c r="A106" s="281">
        <v>90</v>
      </c>
      <c r="B106" s="279">
        <v>446586614</v>
      </c>
      <c r="C106" s="279" t="s">
        <v>472</v>
      </c>
      <c r="D106" s="279" t="s">
        <v>528</v>
      </c>
      <c r="E106" s="279" t="s">
        <v>482</v>
      </c>
      <c r="F106" s="279" t="s">
        <v>474</v>
      </c>
      <c r="G106" s="279">
        <v>86750000</v>
      </c>
      <c r="H106" s="279">
        <v>3470</v>
      </c>
      <c r="I106" s="279">
        <v>0</v>
      </c>
      <c r="J106" s="279">
        <v>5</v>
      </c>
      <c r="K106" s="279" t="s">
        <v>475</v>
      </c>
      <c r="L106" s="279">
        <v>0</v>
      </c>
      <c r="M106" s="279" t="s">
        <v>98</v>
      </c>
      <c r="N106" s="279" t="s">
        <v>544</v>
      </c>
      <c r="O106" s="279" t="s">
        <v>1209</v>
      </c>
      <c r="P106" s="279" t="s">
        <v>566</v>
      </c>
      <c r="Q106" s="279" t="s">
        <v>1203</v>
      </c>
      <c r="R106" s="279"/>
      <c r="S106" s="279">
        <v>80</v>
      </c>
      <c r="T106" s="279">
        <v>7.8</v>
      </c>
      <c r="U106" s="279" t="s">
        <v>550</v>
      </c>
      <c r="V106" s="279" t="s">
        <v>550</v>
      </c>
      <c r="W106" s="279" t="s">
        <v>473</v>
      </c>
      <c r="X106" s="279" t="s">
        <v>484</v>
      </c>
      <c r="Y106" s="279"/>
      <c r="Z106" s="279"/>
      <c r="AA106" s="279"/>
      <c r="AB106" s="279" t="s">
        <v>486</v>
      </c>
      <c r="AC106" s="279" t="s">
        <v>490</v>
      </c>
      <c r="AD106" s="279" t="s">
        <v>491</v>
      </c>
      <c r="AE106" s="279">
        <v>86614</v>
      </c>
      <c r="AF106" s="279" t="s">
        <v>473</v>
      </c>
      <c r="AG106" s="279"/>
      <c r="AH106" s="279"/>
      <c r="AI106" s="279">
        <v>20231012</v>
      </c>
      <c r="AJ106" s="462" t="s">
        <v>1153</v>
      </c>
      <c r="AK106" s="279"/>
      <c r="AL106" s="279" t="str">
        <f>IF(AB106="Y","단종모델",LEFT(N106,3)&amp;IFERROR(VLOOKUP(LEFT(N106,3)&amp;P106,#REF!,2,0),""))</f>
        <v>GNS</v>
      </c>
      <c r="AM106" s="469" t="str">
        <f t="shared" si="131"/>
        <v xml:space="preserve">GV80 쿠페 가솔린 터보 3.5 </v>
      </c>
      <c r="AN106" s="279">
        <f t="shared" si="125"/>
        <v>86750000</v>
      </c>
      <c r="AO106" s="279">
        <f t="shared" si="126"/>
        <v>3470</v>
      </c>
      <c r="AP106" s="279" t="str">
        <f t="shared" si="127"/>
        <v>M</v>
      </c>
      <c r="AQ106" s="279">
        <f t="shared" si="128"/>
        <v>5</v>
      </c>
      <c r="AR106" s="279" t="str">
        <f t="shared" si="129"/>
        <v>RV</v>
      </c>
      <c r="AS106" s="279" t="str">
        <f t="shared" si="130"/>
        <v>승용</v>
      </c>
      <c r="AT106" s="279" t="str">
        <f t="shared" si="111"/>
        <v>7급</v>
      </c>
      <c r="AU106" s="279" t="str">
        <f t="shared" si="112"/>
        <v>03:울산대형</v>
      </c>
      <c r="AV106" s="279">
        <f t="shared" si="150"/>
        <v>0</v>
      </c>
      <c r="AW106" s="279" t="str">
        <f t="shared" si="113"/>
        <v>D</v>
      </c>
      <c r="AX106" s="279" t="str">
        <f t="shared" si="114"/>
        <v>전략P</v>
      </c>
      <c r="AY106" s="468">
        <v>0.02</v>
      </c>
      <c r="AZ106" s="468"/>
      <c r="BA106" s="279" t="s">
        <v>1653</v>
      </c>
      <c r="BB106" s="279" t="s">
        <v>1555</v>
      </c>
      <c r="BC106" s="279"/>
      <c r="BD106" s="279" t="s">
        <v>1184</v>
      </c>
      <c r="BE106" s="279" t="str">
        <f t="shared" si="149"/>
        <v>제네시스</v>
      </c>
      <c r="BF106" s="581">
        <v>4.1000000000000002E-2</v>
      </c>
      <c r="BG106" s="281">
        <v>82000</v>
      </c>
      <c r="BH106" s="281">
        <v>331000</v>
      </c>
      <c r="BI106" s="279"/>
      <c r="BJ106" s="279"/>
      <c r="BK106" s="279"/>
      <c r="BL106" s="279"/>
      <c r="BM106" s="279" t="s">
        <v>1547</v>
      </c>
      <c r="BN106" s="279"/>
      <c r="BO106" s="279"/>
      <c r="BP106" s="500">
        <f t="shared" si="147"/>
        <v>6.2E-2</v>
      </c>
      <c r="BQ106" s="973">
        <f t="shared" si="148"/>
        <v>5.5E-2</v>
      </c>
    </row>
    <row r="107" spans="1:69" s="460" customFormat="1" ht="15" customHeight="1">
      <c r="A107" s="281">
        <v>91</v>
      </c>
      <c r="B107" s="279">
        <v>446588821</v>
      </c>
      <c r="C107" s="279" t="s">
        <v>472</v>
      </c>
      <c r="D107" s="279" t="s">
        <v>528</v>
      </c>
      <c r="E107" s="279" t="s">
        <v>482</v>
      </c>
      <c r="F107" s="279" t="s">
        <v>474</v>
      </c>
      <c r="G107" s="279">
        <v>104500000</v>
      </c>
      <c r="H107" s="279">
        <v>3470</v>
      </c>
      <c r="I107" s="279">
        <v>0</v>
      </c>
      <c r="J107" s="279">
        <v>5</v>
      </c>
      <c r="K107" s="279" t="s">
        <v>475</v>
      </c>
      <c r="L107" s="279">
        <v>0</v>
      </c>
      <c r="M107" s="279" t="s">
        <v>98</v>
      </c>
      <c r="N107" s="279" t="s">
        <v>544</v>
      </c>
      <c r="O107" s="279" t="s">
        <v>1814</v>
      </c>
      <c r="P107" s="279" t="s">
        <v>566</v>
      </c>
      <c r="Q107" s="279" t="s">
        <v>1820</v>
      </c>
      <c r="R107" s="279" t="s">
        <v>1818</v>
      </c>
      <c r="S107" s="279">
        <v>80</v>
      </c>
      <c r="T107" s="279">
        <v>7.8</v>
      </c>
      <c r="U107" s="279" t="s">
        <v>1815</v>
      </c>
      <c r="V107" s="279" t="s">
        <v>1815</v>
      </c>
      <c r="W107" s="279" t="s">
        <v>473</v>
      </c>
      <c r="X107" s="279" t="s">
        <v>484</v>
      </c>
      <c r="Y107" s="279"/>
      <c r="Z107" s="279"/>
      <c r="AA107" s="279"/>
      <c r="AB107" s="279" t="s">
        <v>486</v>
      </c>
      <c r="AC107" s="279" t="s">
        <v>490</v>
      </c>
      <c r="AD107" s="279" t="s">
        <v>491</v>
      </c>
      <c r="AE107" s="279">
        <v>88821</v>
      </c>
      <c r="AF107" s="279" t="s">
        <v>473</v>
      </c>
      <c r="AG107" s="279"/>
      <c r="AH107" s="279"/>
      <c r="AI107" s="279">
        <v>20241029</v>
      </c>
      <c r="AJ107" s="462" t="s">
        <v>937</v>
      </c>
      <c r="AK107" s="279"/>
      <c r="AL107" s="279" t="str">
        <f>IF(AB107="Y","단종모델",LEFT(N107,3)&amp;IFERROR(VLOOKUP(LEFT(N107,3)&amp;P107,#REF!,2,0),""))</f>
        <v>GNS</v>
      </c>
      <c r="AM107" s="469" t="str">
        <f t="shared" si="131"/>
        <v>GV80 쿠페 가솔린 터보 3.5 BLACK AWD (5인승) Coupe</v>
      </c>
      <c r="AN107" s="279">
        <f t="shared" ref="AN107:AN109" si="199">G107</f>
        <v>104500000</v>
      </c>
      <c r="AO107" s="279">
        <f t="shared" ref="AO107:AO109" si="200">H107</f>
        <v>3470</v>
      </c>
      <c r="AP107" s="279" t="str">
        <f t="shared" ref="AP107:AP109" si="201">LEFT(K107,1)</f>
        <v>M</v>
      </c>
      <c r="AQ107" s="279">
        <f t="shared" ref="AQ107:AQ109" si="202">J107</f>
        <v>5</v>
      </c>
      <c r="AR107" s="279" t="str">
        <f t="shared" ref="AR107:AR109" si="203">RIGHT(D107,2)</f>
        <v>RV</v>
      </c>
      <c r="AS107" s="279" t="str">
        <f t="shared" ref="AS107:AS109" si="204">MID(W107,4,3)</f>
        <v>승용</v>
      </c>
      <c r="AT107" s="279" t="str">
        <f t="shared" ref="AT107:AT109" si="205">RIGHT(AC107,2)</f>
        <v>7급</v>
      </c>
      <c r="AU107" s="279" t="str">
        <f t="shared" ref="AU107:AU109" si="206">AB107</f>
        <v>03:울산대형</v>
      </c>
      <c r="AV107" s="279">
        <f t="shared" ref="AV107:AV109" si="207">IF(AND(BE107="기아",AQ107&lt;7),1900,IF(AND(BE107="기아",AQ107&gt;6,AQ107&lt;11),2500,IF(AND(BE107="기아",AQ107&gt;10),3500,IF(AND(BE107="KG모빌리티",AQ107&lt;7),3650,IF(AND(BE107="KG모빌리티",AQ107&gt;6),4300,0)))))</f>
        <v>0</v>
      </c>
      <c r="AW107" s="279" t="str">
        <f t="shared" ref="AW107:AW109" si="208">LEFT(F107,1)</f>
        <v>D</v>
      </c>
      <c r="AX107" s="279" t="str">
        <f t="shared" ref="AX107:AX109" si="209">AJ107</f>
        <v>전략P</v>
      </c>
      <c r="AY107" s="468">
        <v>0.02</v>
      </c>
      <c r="AZ107" s="468"/>
      <c r="BA107" s="279" t="s">
        <v>1822</v>
      </c>
      <c r="BB107" s="279" t="s">
        <v>1555</v>
      </c>
      <c r="BC107" s="279"/>
      <c r="BD107" s="279" t="s">
        <v>1184</v>
      </c>
      <c r="BE107" s="279" t="str">
        <f t="shared" si="149"/>
        <v>제네시스</v>
      </c>
      <c r="BF107" s="581">
        <v>4.1000000000000002E-2</v>
      </c>
      <c r="BG107" s="281">
        <v>82000</v>
      </c>
      <c r="BH107" s="281">
        <v>331000</v>
      </c>
      <c r="BI107" s="279"/>
      <c r="BJ107" s="279"/>
      <c r="BK107" s="279"/>
      <c r="BL107" s="279"/>
      <c r="BM107" s="279" t="s">
        <v>1547</v>
      </c>
      <c r="BN107" s="279"/>
      <c r="BO107" s="279"/>
      <c r="BP107" s="500">
        <f t="shared" si="147"/>
        <v>6.2E-2</v>
      </c>
      <c r="BQ107" s="973">
        <f t="shared" si="148"/>
        <v>5.5E-2</v>
      </c>
    </row>
    <row r="108" spans="1:69" s="460" customFormat="1" ht="15" customHeight="1">
      <c r="A108" s="281">
        <v>92</v>
      </c>
      <c r="B108" s="279">
        <v>446586615</v>
      </c>
      <c r="C108" s="279" t="s">
        <v>472</v>
      </c>
      <c r="D108" s="279" t="s">
        <v>528</v>
      </c>
      <c r="E108" s="279" t="s">
        <v>482</v>
      </c>
      <c r="F108" s="279" t="s">
        <v>474</v>
      </c>
      <c r="G108" s="279">
        <v>91900000</v>
      </c>
      <c r="H108" s="279">
        <v>3470</v>
      </c>
      <c r="I108" s="279">
        <v>0</v>
      </c>
      <c r="J108" s="279">
        <v>5</v>
      </c>
      <c r="K108" s="279" t="s">
        <v>475</v>
      </c>
      <c r="L108" s="279">
        <v>0</v>
      </c>
      <c r="M108" s="279" t="s">
        <v>98</v>
      </c>
      <c r="N108" s="279" t="s">
        <v>544</v>
      </c>
      <c r="O108" s="279" t="s">
        <v>1209</v>
      </c>
      <c r="P108" s="279" t="s">
        <v>566</v>
      </c>
      <c r="Q108" s="279" t="s">
        <v>1204</v>
      </c>
      <c r="R108" s="279"/>
      <c r="S108" s="279">
        <v>80</v>
      </c>
      <c r="T108" s="279">
        <v>0</v>
      </c>
      <c r="U108" s="279" t="s">
        <v>550</v>
      </c>
      <c r="V108" s="279" t="s">
        <v>550</v>
      </c>
      <c r="W108" s="279" t="s">
        <v>473</v>
      </c>
      <c r="X108" s="279" t="s">
        <v>484</v>
      </c>
      <c r="Y108" s="279"/>
      <c r="Z108" s="279"/>
      <c r="AA108" s="279"/>
      <c r="AB108" s="279" t="s">
        <v>486</v>
      </c>
      <c r="AC108" s="279" t="s">
        <v>490</v>
      </c>
      <c r="AD108" s="279" t="s">
        <v>491</v>
      </c>
      <c r="AE108" s="279">
        <v>86615</v>
      </c>
      <c r="AF108" s="279" t="s">
        <v>473</v>
      </c>
      <c r="AG108" s="279"/>
      <c r="AH108" s="279"/>
      <c r="AI108" s="279">
        <v>20231012</v>
      </c>
      <c r="AJ108" s="462" t="s">
        <v>1153</v>
      </c>
      <c r="AK108" s="279"/>
      <c r="AL108" s="279" t="str">
        <f>IF(AB108="Y","단종모델",LEFT(N108,3)&amp;IFERROR(VLOOKUP(LEFT(N108,3)&amp;P108,#REF!,2,0),""))</f>
        <v>GNS</v>
      </c>
      <c r="AM108" s="469" t="str">
        <f t="shared" si="131"/>
        <v xml:space="preserve">GV80 쿠페 가솔린 터보 3.5-48V 일렉트릭 슈퍼차저 </v>
      </c>
      <c r="AN108" s="279">
        <f t="shared" si="199"/>
        <v>91900000</v>
      </c>
      <c r="AO108" s="279">
        <f t="shared" si="200"/>
        <v>3470</v>
      </c>
      <c r="AP108" s="279" t="str">
        <f t="shared" si="201"/>
        <v>M</v>
      </c>
      <c r="AQ108" s="279">
        <f t="shared" si="202"/>
        <v>5</v>
      </c>
      <c r="AR108" s="279" t="str">
        <f t="shared" si="203"/>
        <v>RV</v>
      </c>
      <c r="AS108" s="279" t="str">
        <f t="shared" si="204"/>
        <v>승용</v>
      </c>
      <c r="AT108" s="279" t="str">
        <f t="shared" si="205"/>
        <v>7급</v>
      </c>
      <c r="AU108" s="279" t="str">
        <f t="shared" si="206"/>
        <v>03:울산대형</v>
      </c>
      <c r="AV108" s="279">
        <f t="shared" si="207"/>
        <v>0</v>
      </c>
      <c r="AW108" s="279" t="str">
        <f t="shared" si="208"/>
        <v>D</v>
      </c>
      <c r="AX108" s="279" t="str">
        <f t="shared" si="209"/>
        <v>전략P</v>
      </c>
      <c r="AY108" s="468">
        <v>0.02</v>
      </c>
      <c r="AZ108" s="468"/>
      <c r="BA108" s="279" t="s">
        <v>1654</v>
      </c>
      <c r="BB108" s="279" t="s">
        <v>1555</v>
      </c>
      <c r="BC108" s="279"/>
      <c r="BD108" s="279" t="s">
        <v>1184</v>
      </c>
      <c r="BE108" s="279" t="str">
        <f t="shared" si="149"/>
        <v>제네시스</v>
      </c>
      <c r="BF108" s="581">
        <v>4.1000000000000002E-2</v>
      </c>
      <c r="BG108" s="281">
        <v>82000</v>
      </c>
      <c r="BH108" s="281">
        <v>331000</v>
      </c>
      <c r="BI108" s="279"/>
      <c r="BJ108" s="279"/>
      <c r="BK108" s="279"/>
      <c r="BL108" s="279"/>
      <c r="BM108" s="279" t="s">
        <v>1547</v>
      </c>
      <c r="BN108" s="279"/>
      <c r="BO108" s="279"/>
      <c r="BP108" s="500">
        <f t="shared" ref="BP108:BP109" si="210">IF(AJ108="전략P",0.062,IF(AJ108="전략",0.068,IF(AND(AJ108="전기",LEFT(AM108,2)="레이"),0.145,IF(AJ108="전기",0.065,IF(LEFT(AM108,3)="캐스퍼",0.093,IF(H108&lt;1000,0.145,0.093))))))-IF(BO108&gt;0,BO108%,0%)</f>
        <v>6.2E-2</v>
      </c>
      <c r="BQ108" s="973">
        <f t="shared" ref="BQ108:BQ109" si="211">BP108-0.007</f>
        <v>5.5E-2</v>
      </c>
    </row>
    <row r="109" spans="1:69" s="460" customFormat="1" ht="15" customHeight="1">
      <c r="A109" s="281">
        <v>93</v>
      </c>
      <c r="B109" s="279">
        <v>446588822</v>
      </c>
      <c r="C109" s="279" t="s">
        <v>472</v>
      </c>
      <c r="D109" s="279" t="s">
        <v>528</v>
      </c>
      <c r="E109" s="279" t="s">
        <v>482</v>
      </c>
      <c r="F109" s="279" t="s">
        <v>474</v>
      </c>
      <c r="G109" s="279">
        <v>109650000</v>
      </c>
      <c r="H109" s="279">
        <v>3470</v>
      </c>
      <c r="I109" s="279">
        <v>0</v>
      </c>
      <c r="J109" s="279">
        <v>5</v>
      </c>
      <c r="K109" s="279" t="s">
        <v>1819</v>
      </c>
      <c r="L109" s="279">
        <v>0</v>
      </c>
      <c r="M109" s="279" t="s">
        <v>98</v>
      </c>
      <c r="N109" s="279" t="s">
        <v>544</v>
      </c>
      <c r="O109" s="279" t="s">
        <v>1814</v>
      </c>
      <c r="P109" s="279" t="s">
        <v>566</v>
      </c>
      <c r="Q109" s="279" t="s">
        <v>1821</v>
      </c>
      <c r="R109" s="279" t="s">
        <v>1818</v>
      </c>
      <c r="S109" s="279">
        <v>80</v>
      </c>
      <c r="T109" s="279">
        <v>8.3000000000000007</v>
      </c>
      <c r="U109" s="279" t="s">
        <v>1815</v>
      </c>
      <c r="V109" s="279" t="s">
        <v>1815</v>
      </c>
      <c r="W109" s="279" t="s">
        <v>473</v>
      </c>
      <c r="X109" s="279" t="s">
        <v>484</v>
      </c>
      <c r="Y109" s="279"/>
      <c r="Z109" s="279"/>
      <c r="AA109" s="279"/>
      <c r="AB109" s="279" t="s">
        <v>486</v>
      </c>
      <c r="AC109" s="279" t="s">
        <v>490</v>
      </c>
      <c r="AD109" s="279" t="s">
        <v>491</v>
      </c>
      <c r="AE109" s="279">
        <v>88822</v>
      </c>
      <c r="AF109" s="279" t="s">
        <v>473</v>
      </c>
      <c r="AG109" s="279"/>
      <c r="AH109" s="279"/>
      <c r="AI109" s="279">
        <v>20241029</v>
      </c>
      <c r="AJ109" s="462" t="s">
        <v>937</v>
      </c>
      <c r="AK109" s="279"/>
      <c r="AL109" s="279" t="str">
        <f>IF(AB109="Y","단종모델",LEFT(N109,3)&amp;IFERROR(VLOOKUP(LEFT(N109,3)&amp;P109,#REF!,2,0),""))</f>
        <v>GNS</v>
      </c>
      <c r="AM109" s="469" t="str">
        <f t="shared" si="131"/>
        <v>GV80 쿠페 가솔린 터보 3.5-48V 일렉트릭 슈퍼차저 BLACK AWD (5인승) Coupe</v>
      </c>
      <c r="AN109" s="279">
        <f t="shared" si="199"/>
        <v>109650000</v>
      </c>
      <c r="AO109" s="279">
        <f t="shared" si="200"/>
        <v>3470</v>
      </c>
      <c r="AP109" s="279" t="str">
        <f t="shared" si="201"/>
        <v>V</v>
      </c>
      <c r="AQ109" s="279">
        <f t="shared" si="202"/>
        <v>5</v>
      </c>
      <c r="AR109" s="279" t="str">
        <f t="shared" si="203"/>
        <v>RV</v>
      </c>
      <c r="AS109" s="279" t="str">
        <f t="shared" si="204"/>
        <v>승용</v>
      </c>
      <c r="AT109" s="279" t="str">
        <f t="shared" si="205"/>
        <v>7급</v>
      </c>
      <c r="AU109" s="279" t="str">
        <f t="shared" si="206"/>
        <v>03:울산대형</v>
      </c>
      <c r="AV109" s="279">
        <f t="shared" si="207"/>
        <v>0</v>
      </c>
      <c r="AW109" s="279" t="str">
        <f t="shared" si="208"/>
        <v>D</v>
      </c>
      <c r="AX109" s="279" t="str">
        <f t="shared" si="209"/>
        <v>전략P</v>
      </c>
      <c r="AY109" s="468">
        <v>0.02</v>
      </c>
      <c r="AZ109" s="468"/>
      <c r="BA109" s="279" t="s">
        <v>1829</v>
      </c>
      <c r="BB109" s="279" t="s">
        <v>1555</v>
      </c>
      <c r="BC109" s="279"/>
      <c r="BD109" s="279" t="s">
        <v>1184</v>
      </c>
      <c r="BE109" s="279" t="str">
        <f t="shared" si="149"/>
        <v>제네시스</v>
      </c>
      <c r="BF109" s="581">
        <v>4.1000000000000002E-2</v>
      </c>
      <c r="BG109" s="281">
        <v>82000</v>
      </c>
      <c r="BH109" s="281">
        <v>331000</v>
      </c>
      <c r="BI109" s="279"/>
      <c r="BJ109" s="279"/>
      <c r="BK109" s="279"/>
      <c r="BL109" s="279"/>
      <c r="BM109" s="279" t="s">
        <v>1547</v>
      </c>
      <c r="BN109" s="279"/>
      <c r="BO109" s="279"/>
      <c r="BP109" s="500">
        <f t="shared" si="210"/>
        <v>6.2E-2</v>
      </c>
      <c r="BQ109" s="973">
        <f t="shared" si="211"/>
        <v>5.5E-2</v>
      </c>
    </row>
    <row r="110" spans="1:69" s="460" customFormat="1" ht="15" customHeight="1">
      <c r="A110" s="281">
        <v>94</v>
      </c>
      <c r="B110" s="279">
        <v>460987865</v>
      </c>
      <c r="C110" s="279" t="s">
        <v>472</v>
      </c>
      <c r="D110" s="279" t="s">
        <v>528</v>
      </c>
      <c r="E110" s="279" t="s">
        <v>482</v>
      </c>
      <c r="F110" s="279" t="s">
        <v>474</v>
      </c>
      <c r="G110" s="279">
        <v>53800000</v>
      </c>
      <c r="H110" s="279">
        <v>2497</v>
      </c>
      <c r="I110" s="279">
        <v>0</v>
      </c>
      <c r="J110" s="279">
        <v>5</v>
      </c>
      <c r="K110" s="279" t="s">
        <v>475</v>
      </c>
      <c r="L110" s="279">
        <v>0</v>
      </c>
      <c r="M110" s="279" t="s">
        <v>98</v>
      </c>
      <c r="N110" s="279" t="s">
        <v>544</v>
      </c>
      <c r="O110" s="279" t="s">
        <v>557</v>
      </c>
      <c r="P110" s="279" t="s">
        <v>558</v>
      </c>
      <c r="Q110" s="279" t="s">
        <v>1502</v>
      </c>
      <c r="R110" s="279" t="s">
        <v>1430</v>
      </c>
      <c r="S110" s="279">
        <v>66</v>
      </c>
      <c r="T110" s="279">
        <v>10.199999999999999</v>
      </c>
      <c r="U110" s="279" t="s">
        <v>506</v>
      </c>
      <c r="V110" s="279" t="s">
        <v>506</v>
      </c>
      <c r="W110" s="279" t="s">
        <v>473</v>
      </c>
      <c r="X110" s="279" t="s">
        <v>484</v>
      </c>
      <c r="Y110" s="279"/>
      <c r="Z110" s="279"/>
      <c r="AA110" s="279"/>
      <c r="AB110" s="279" t="s">
        <v>486</v>
      </c>
      <c r="AC110" s="279" t="s">
        <v>490</v>
      </c>
      <c r="AD110" s="279" t="s">
        <v>491</v>
      </c>
      <c r="AE110" s="279">
        <v>87865</v>
      </c>
      <c r="AF110" s="279" t="s">
        <v>473</v>
      </c>
      <c r="AG110" s="279"/>
      <c r="AH110" s="279">
        <v>0</v>
      </c>
      <c r="AI110" s="279">
        <v>20240607</v>
      </c>
      <c r="AJ110" s="462" t="s">
        <v>1153</v>
      </c>
      <c r="AK110" s="279"/>
      <c r="AL110" s="279" t="str">
        <f>IF(AB110="Y","단종모델",LEFT(N110,3)&amp;IFERROR(VLOOKUP(LEFT(N110,3)&amp;P110,#REF!,2,0),""))</f>
        <v>GNS</v>
      </c>
      <c r="AM110" s="469" t="str">
        <f t="shared" si="131"/>
        <v>GV70 가솔린 터보 2.5 2WD</v>
      </c>
      <c r="AN110" s="279">
        <f t="shared" si="125"/>
        <v>53800000</v>
      </c>
      <c r="AO110" s="279">
        <f t="shared" si="126"/>
        <v>2497</v>
      </c>
      <c r="AP110" s="279" t="str">
        <f t="shared" si="127"/>
        <v>M</v>
      </c>
      <c r="AQ110" s="279">
        <f t="shared" si="128"/>
        <v>5</v>
      </c>
      <c r="AR110" s="279" t="str">
        <f t="shared" si="129"/>
        <v>RV</v>
      </c>
      <c r="AS110" s="279" t="str">
        <f t="shared" si="130"/>
        <v>승용</v>
      </c>
      <c r="AT110" s="279" t="str">
        <f t="shared" si="111"/>
        <v>7급</v>
      </c>
      <c r="AU110" s="279" t="str">
        <f t="shared" si="112"/>
        <v>03:울산대형</v>
      </c>
      <c r="AV110" s="279">
        <f t="shared" si="150"/>
        <v>0</v>
      </c>
      <c r="AW110" s="279" t="str">
        <f t="shared" si="113"/>
        <v>D</v>
      </c>
      <c r="AX110" s="279" t="str">
        <f t="shared" si="114"/>
        <v>전략P</v>
      </c>
      <c r="AY110" s="468">
        <v>0.02</v>
      </c>
      <c r="AZ110" s="468"/>
      <c r="BA110" s="279" t="s">
        <v>1687</v>
      </c>
      <c r="BB110" s="279" t="s">
        <v>1630</v>
      </c>
      <c r="BC110" s="279"/>
      <c r="BD110" s="279" t="s">
        <v>1184</v>
      </c>
      <c r="BE110" s="279" t="str">
        <f t="shared" si="149"/>
        <v>제네시스</v>
      </c>
      <c r="BF110" s="581">
        <v>4.1000000000000002E-2</v>
      </c>
      <c r="BG110" s="281">
        <v>80000</v>
      </c>
      <c r="BH110" s="281">
        <v>318000</v>
      </c>
      <c r="BI110" s="279"/>
      <c r="BJ110" s="279"/>
      <c r="BK110" s="279"/>
      <c r="BL110" s="279"/>
      <c r="BM110" s="279" t="s">
        <v>1547</v>
      </c>
      <c r="BN110" s="279"/>
      <c r="BO110" s="279"/>
      <c r="BP110" s="500">
        <f t="shared" si="147"/>
        <v>6.2E-2</v>
      </c>
      <c r="BQ110" s="973">
        <f t="shared" si="148"/>
        <v>5.5E-2</v>
      </c>
    </row>
    <row r="111" spans="1:69" s="460" customFormat="1" ht="15" customHeight="1">
      <c r="A111" s="281">
        <v>95</v>
      </c>
      <c r="B111" s="279">
        <v>460987866</v>
      </c>
      <c r="C111" s="279" t="s">
        <v>472</v>
      </c>
      <c r="D111" s="279" t="s">
        <v>528</v>
      </c>
      <c r="E111" s="279" t="s">
        <v>482</v>
      </c>
      <c r="F111" s="279" t="s">
        <v>474</v>
      </c>
      <c r="G111" s="279">
        <v>56800000</v>
      </c>
      <c r="H111" s="279">
        <v>2497</v>
      </c>
      <c r="I111" s="279">
        <v>0</v>
      </c>
      <c r="J111" s="279">
        <v>5</v>
      </c>
      <c r="K111" s="279" t="s">
        <v>475</v>
      </c>
      <c r="L111" s="279">
        <v>0</v>
      </c>
      <c r="M111" s="279" t="s">
        <v>98</v>
      </c>
      <c r="N111" s="279" t="s">
        <v>544</v>
      </c>
      <c r="O111" s="279" t="s">
        <v>557</v>
      </c>
      <c r="P111" s="279" t="s">
        <v>558</v>
      </c>
      <c r="Q111" s="279" t="s">
        <v>1502</v>
      </c>
      <c r="R111" s="279" t="s">
        <v>1431</v>
      </c>
      <c r="S111" s="279">
        <v>66</v>
      </c>
      <c r="T111" s="279">
        <v>9.6999999999999993</v>
      </c>
      <c r="U111" s="279" t="s">
        <v>506</v>
      </c>
      <c r="V111" s="279" t="s">
        <v>506</v>
      </c>
      <c r="W111" s="279" t="s">
        <v>473</v>
      </c>
      <c r="X111" s="279" t="s">
        <v>484</v>
      </c>
      <c r="Y111" s="279"/>
      <c r="Z111" s="279"/>
      <c r="AA111" s="279"/>
      <c r="AB111" s="279" t="s">
        <v>486</v>
      </c>
      <c r="AC111" s="279" t="s">
        <v>490</v>
      </c>
      <c r="AD111" s="279" t="s">
        <v>491</v>
      </c>
      <c r="AE111" s="279">
        <v>87866</v>
      </c>
      <c r="AF111" s="279" t="s">
        <v>473</v>
      </c>
      <c r="AG111" s="279"/>
      <c r="AH111" s="279">
        <v>0</v>
      </c>
      <c r="AI111" s="279">
        <v>20240607</v>
      </c>
      <c r="AJ111" s="462" t="s">
        <v>1153</v>
      </c>
      <c r="AK111" s="279"/>
      <c r="AL111" s="279" t="str">
        <f>IF(AB111="Y","단종모델",LEFT(N111,3)&amp;IFERROR(VLOOKUP(LEFT(N111,3)&amp;P111,#REF!,2,0),""))</f>
        <v>GNS</v>
      </c>
      <c r="AM111" s="469" t="str">
        <f t="shared" si="131"/>
        <v>GV70 가솔린 터보 2.5 AWD</v>
      </c>
      <c r="AN111" s="279">
        <f t="shared" si="125"/>
        <v>56800000</v>
      </c>
      <c r="AO111" s="279">
        <f t="shared" si="126"/>
        <v>2497</v>
      </c>
      <c r="AP111" s="279" t="str">
        <f t="shared" si="127"/>
        <v>M</v>
      </c>
      <c r="AQ111" s="279">
        <f t="shared" si="128"/>
        <v>5</v>
      </c>
      <c r="AR111" s="279" t="str">
        <f t="shared" si="129"/>
        <v>RV</v>
      </c>
      <c r="AS111" s="279" t="str">
        <f t="shared" si="130"/>
        <v>승용</v>
      </c>
      <c r="AT111" s="279" t="str">
        <f t="shared" si="111"/>
        <v>7급</v>
      </c>
      <c r="AU111" s="279" t="str">
        <f t="shared" si="112"/>
        <v>03:울산대형</v>
      </c>
      <c r="AV111" s="279">
        <f t="shared" si="150"/>
        <v>0</v>
      </c>
      <c r="AW111" s="279" t="str">
        <f t="shared" si="113"/>
        <v>D</v>
      </c>
      <c r="AX111" s="279" t="str">
        <f t="shared" si="114"/>
        <v>전략P</v>
      </c>
      <c r="AY111" s="468">
        <v>0.02</v>
      </c>
      <c r="AZ111" s="468"/>
      <c r="BA111" s="279" t="s">
        <v>1687</v>
      </c>
      <c r="BB111" s="279" t="s">
        <v>1630</v>
      </c>
      <c r="BC111" s="279"/>
      <c r="BD111" s="279" t="s">
        <v>1184</v>
      </c>
      <c r="BE111" s="279" t="str">
        <f t="shared" si="149"/>
        <v>제네시스</v>
      </c>
      <c r="BF111" s="581">
        <v>4.1000000000000002E-2</v>
      </c>
      <c r="BG111" s="281">
        <v>80000</v>
      </c>
      <c r="BH111" s="281">
        <v>318000</v>
      </c>
      <c r="BI111" s="279"/>
      <c r="BJ111" s="279"/>
      <c r="BK111" s="279"/>
      <c r="BL111" s="279"/>
      <c r="BM111" s="279" t="s">
        <v>1547</v>
      </c>
      <c r="BN111" s="279"/>
      <c r="BO111" s="279"/>
      <c r="BP111" s="500">
        <f t="shared" si="147"/>
        <v>6.2E-2</v>
      </c>
      <c r="BQ111" s="973">
        <f t="shared" si="148"/>
        <v>5.5E-2</v>
      </c>
    </row>
    <row r="112" spans="1:69" s="460" customFormat="1" ht="15" customHeight="1">
      <c r="A112" s="281">
        <v>96</v>
      </c>
      <c r="B112" s="279">
        <v>460987869</v>
      </c>
      <c r="C112" s="279" t="s">
        <v>472</v>
      </c>
      <c r="D112" s="279" t="s">
        <v>528</v>
      </c>
      <c r="E112" s="279" t="s">
        <v>482</v>
      </c>
      <c r="F112" s="279" t="s">
        <v>474</v>
      </c>
      <c r="G112" s="279">
        <v>59300000</v>
      </c>
      <c r="H112" s="279">
        <v>3470</v>
      </c>
      <c r="I112" s="279">
        <v>0</v>
      </c>
      <c r="J112" s="279">
        <v>5</v>
      </c>
      <c r="K112" s="279" t="s">
        <v>475</v>
      </c>
      <c r="L112" s="279">
        <v>0</v>
      </c>
      <c r="M112" s="279" t="s">
        <v>98</v>
      </c>
      <c r="N112" s="279" t="s">
        <v>544</v>
      </c>
      <c r="O112" s="279" t="s">
        <v>557</v>
      </c>
      <c r="P112" s="279" t="s">
        <v>558</v>
      </c>
      <c r="Q112" s="279" t="s">
        <v>1503</v>
      </c>
      <c r="R112" s="279" t="s">
        <v>1430</v>
      </c>
      <c r="S112" s="279">
        <v>66</v>
      </c>
      <c r="T112" s="279">
        <v>8.9</v>
      </c>
      <c r="U112" s="279" t="s">
        <v>504</v>
      </c>
      <c r="V112" s="279" t="s">
        <v>504</v>
      </c>
      <c r="W112" s="279" t="s">
        <v>473</v>
      </c>
      <c r="X112" s="279" t="s">
        <v>484</v>
      </c>
      <c r="Y112" s="279"/>
      <c r="Z112" s="279"/>
      <c r="AA112" s="279"/>
      <c r="AB112" s="279" t="s">
        <v>486</v>
      </c>
      <c r="AC112" s="279" t="s">
        <v>490</v>
      </c>
      <c r="AD112" s="279" t="s">
        <v>491</v>
      </c>
      <c r="AE112" s="279">
        <v>87869</v>
      </c>
      <c r="AF112" s="279" t="s">
        <v>473</v>
      </c>
      <c r="AG112" s="279"/>
      <c r="AH112" s="279">
        <v>0</v>
      </c>
      <c r="AI112" s="279">
        <v>20240607</v>
      </c>
      <c r="AJ112" s="462" t="s">
        <v>1153</v>
      </c>
      <c r="AK112" s="279"/>
      <c r="AL112" s="279" t="str">
        <f>IF(AB112="Y","단종모델",LEFT(N112,3)&amp;IFERROR(VLOOKUP(LEFT(N112,3)&amp;P112,#REF!,2,0),""))</f>
        <v>GNS</v>
      </c>
      <c r="AM112" s="469" t="str">
        <f t="shared" si="131"/>
        <v>GV70 가솔린 터보 3.5 2WD</v>
      </c>
      <c r="AN112" s="279">
        <f t="shared" si="125"/>
        <v>59300000</v>
      </c>
      <c r="AO112" s="279">
        <f t="shared" si="126"/>
        <v>3470</v>
      </c>
      <c r="AP112" s="279" t="str">
        <f t="shared" si="127"/>
        <v>M</v>
      </c>
      <c r="AQ112" s="279">
        <f t="shared" si="128"/>
        <v>5</v>
      </c>
      <c r="AR112" s="279" t="str">
        <f t="shared" si="129"/>
        <v>RV</v>
      </c>
      <c r="AS112" s="279" t="str">
        <f t="shared" si="130"/>
        <v>승용</v>
      </c>
      <c r="AT112" s="279" t="str">
        <f t="shared" si="111"/>
        <v>7급</v>
      </c>
      <c r="AU112" s="279" t="str">
        <f t="shared" si="112"/>
        <v>03:울산대형</v>
      </c>
      <c r="AV112" s="279">
        <f t="shared" si="150"/>
        <v>0</v>
      </c>
      <c r="AW112" s="279" t="str">
        <f t="shared" si="113"/>
        <v>D</v>
      </c>
      <c r="AX112" s="279" t="str">
        <f t="shared" si="114"/>
        <v>전략P</v>
      </c>
      <c r="AY112" s="468">
        <v>0.02</v>
      </c>
      <c r="AZ112" s="468"/>
      <c r="BA112" s="279" t="s">
        <v>1693</v>
      </c>
      <c r="BB112" s="279" t="s">
        <v>1638</v>
      </c>
      <c r="BC112" s="279"/>
      <c r="BD112" s="279" t="s">
        <v>1184</v>
      </c>
      <c r="BE112" s="279" t="str">
        <f t="shared" si="149"/>
        <v>제네시스</v>
      </c>
      <c r="BF112" s="581">
        <v>4.1000000000000002E-2</v>
      </c>
      <c r="BG112" s="281">
        <v>80000</v>
      </c>
      <c r="BH112" s="281">
        <v>318000</v>
      </c>
      <c r="BI112" s="279"/>
      <c r="BJ112" s="279"/>
      <c r="BK112" s="279"/>
      <c r="BL112" s="279"/>
      <c r="BM112" s="279" t="s">
        <v>1547</v>
      </c>
      <c r="BN112" s="279"/>
      <c r="BO112" s="279"/>
      <c r="BP112" s="500">
        <f t="shared" si="147"/>
        <v>6.2E-2</v>
      </c>
      <c r="BQ112" s="973">
        <f t="shared" si="148"/>
        <v>5.5E-2</v>
      </c>
    </row>
    <row r="113" spans="1:69" s="460" customFormat="1" ht="15" customHeight="1">
      <c r="A113" s="281">
        <v>97</v>
      </c>
      <c r="B113" s="279">
        <v>460987870</v>
      </c>
      <c r="C113" s="279" t="s">
        <v>472</v>
      </c>
      <c r="D113" s="279" t="s">
        <v>528</v>
      </c>
      <c r="E113" s="279" t="s">
        <v>482</v>
      </c>
      <c r="F113" s="279" t="s">
        <v>474</v>
      </c>
      <c r="G113" s="279">
        <v>62300000</v>
      </c>
      <c r="H113" s="279">
        <v>3470</v>
      </c>
      <c r="I113" s="279">
        <v>0</v>
      </c>
      <c r="J113" s="279">
        <v>5</v>
      </c>
      <c r="K113" s="279" t="s">
        <v>475</v>
      </c>
      <c r="L113" s="279">
        <v>0</v>
      </c>
      <c r="M113" s="279" t="s">
        <v>98</v>
      </c>
      <c r="N113" s="279" t="s">
        <v>544</v>
      </c>
      <c r="O113" s="279" t="s">
        <v>557</v>
      </c>
      <c r="P113" s="279" t="s">
        <v>558</v>
      </c>
      <c r="Q113" s="279" t="s">
        <v>1503</v>
      </c>
      <c r="R113" s="279" t="s">
        <v>1431</v>
      </c>
      <c r="S113" s="279">
        <v>66</v>
      </c>
      <c r="T113" s="279">
        <v>8.5</v>
      </c>
      <c r="U113" s="279" t="s">
        <v>504</v>
      </c>
      <c r="V113" s="279" t="s">
        <v>504</v>
      </c>
      <c r="W113" s="279" t="s">
        <v>473</v>
      </c>
      <c r="X113" s="279" t="s">
        <v>484</v>
      </c>
      <c r="Y113" s="279"/>
      <c r="Z113" s="279"/>
      <c r="AA113" s="279"/>
      <c r="AB113" s="279" t="s">
        <v>486</v>
      </c>
      <c r="AC113" s="279" t="s">
        <v>490</v>
      </c>
      <c r="AD113" s="279" t="s">
        <v>491</v>
      </c>
      <c r="AE113" s="279">
        <v>87870</v>
      </c>
      <c r="AF113" s="279" t="s">
        <v>473</v>
      </c>
      <c r="AG113" s="279"/>
      <c r="AH113" s="279">
        <v>0</v>
      </c>
      <c r="AI113" s="279">
        <v>20240607</v>
      </c>
      <c r="AJ113" s="462" t="s">
        <v>1153</v>
      </c>
      <c r="AK113" s="279"/>
      <c r="AL113" s="279" t="str">
        <f>IF(AB113="Y","단종모델",LEFT(N113,3)&amp;IFERROR(VLOOKUP(LEFT(N113,3)&amp;P113,#REF!,2,0),""))</f>
        <v>GNS</v>
      </c>
      <c r="AM113" s="469" t="str">
        <f t="shared" si="131"/>
        <v>GV70 가솔린 터보 3.5 AWD</v>
      </c>
      <c r="AN113" s="279">
        <f t="shared" si="125"/>
        <v>62300000</v>
      </c>
      <c r="AO113" s="279">
        <f t="shared" si="126"/>
        <v>3470</v>
      </c>
      <c r="AP113" s="279" t="str">
        <f t="shared" si="127"/>
        <v>M</v>
      </c>
      <c r="AQ113" s="279">
        <f t="shared" si="128"/>
        <v>5</v>
      </c>
      <c r="AR113" s="279" t="str">
        <f t="shared" si="129"/>
        <v>RV</v>
      </c>
      <c r="AS113" s="279" t="str">
        <f t="shared" si="130"/>
        <v>승용</v>
      </c>
      <c r="AT113" s="279" t="str">
        <f t="shared" si="111"/>
        <v>7급</v>
      </c>
      <c r="AU113" s="279" t="str">
        <f t="shared" si="112"/>
        <v>03:울산대형</v>
      </c>
      <c r="AV113" s="279">
        <f t="shared" si="150"/>
        <v>0</v>
      </c>
      <c r="AW113" s="279" t="str">
        <f t="shared" si="113"/>
        <v>D</v>
      </c>
      <c r="AX113" s="279" t="str">
        <f t="shared" si="114"/>
        <v>전략P</v>
      </c>
      <c r="AY113" s="468">
        <v>0.02</v>
      </c>
      <c r="AZ113" s="468"/>
      <c r="BA113" s="279" t="s">
        <v>1693</v>
      </c>
      <c r="BB113" s="279" t="s">
        <v>1638</v>
      </c>
      <c r="BC113" s="279"/>
      <c r="BD113" s="279" t="s">
        <v>1184</v>
      </c>
      <c r="BE113" s="279" t="str">
        <f t="shared" si="149"/>
        <v>제네시스</v>
      </c>
      <c r="BF113" s="581">
        <v>4.1000000000000002E-2</v>
      </c>
      <c r="BG113" s="281">
        <v>80000</v>
      </c>
      <c r="BH113" s="281">
        <v>318000</v>
      </c>
      <c r="BI113" s="279"/>
      <c r="BJ113" s="279"/>
      <c r="BK113" s="279"/>
      <c r="BL113" s="279"/>
      <c r="BM113" s="279" t="s">
        <v>1547</v>
      </c>
      <c r="BN113" s="279"/>
      <c r="BO113" s="279"/>
      <c r="BP113" s="500">
        <f t="shared" si="147"/>
        <v>6.2E-2</v>
      </c>
      <c r="BQ113" s="973">
        <f t="shared" si="148"/>
        <v>5.5E-2</v>
      </c>
    </row>
    <row r="114" spans="1:69" s="460" customFormat="1" ht="15" customHeight="1">
      <c r="A114" s="281">
        <v>98</v>
      </c>
      <c r="B114" s="279">
        <v>455486054</v>
      </c>
      <c r="C114" s="279" t="s">
        <v>521</v>
      </c>
      <c r="D114" s="279" t="s">
        <v>473</v>
      </c>
      <c r="E114" s="279" t="s">
        <v>482</v>
      </c>
      <c r="F114" s="279" t="s">
        <v>474</v>
      </c>
      <c r="G114" s="279">
        <v>16550000</v>
      </c>
      <c r="H114" s="279">
        <v>998</v>
      </c>
      <c r="I114" s="279">
        <v>0</v>
      </c>
      <c r="J114" s="279">
        <v>5</v>
      </c>
      <c r="K114" s="279" t="s">
        <v>475</v>
      </c>
      <c r="L114" s="279">
        <v>0</v>
      </c>
      <c r="M114" s="279" t="s">
        <v>111</v>
      </c>
      <c r="N114" s="279" t="s">
        <v>522</v>
      </c>
      <c r="O114" s="279" t="s">
        <v>1438</v>
      </c>
      <c r="P114" s="279" t="s">
        <v>1439</v>
      </c>
      <c r="Q114" s="279" t="s">
        <v>1440</v>
      </c>
      <c r="R114" s="279"/>
      <c r="S114" s="279">
        <v>35</v>
      </c>
      <c r="T114" s="279">
        <v>15.1</v>
      </c>
      <c r="U114" s="279" t="s">
        <v>552</v>
      </c>
      <c r="V114" s="279" t="s">
        <v>552</v>
      </c>
      <c r="W114" s="279" t="s">
        <v>473</v>
      </c>
      <c r="X114" s="279" t="s">
        <v>519</v>
      </c>
      <c r="Y114" s="282"/>
      <c r="Z114" s="282"/>
      <c r="AA114" s="282"/>
      <c r="AB114" s="279" t="s">
        <v>18</v>
      </c>
      <c r="AC114" s="279" t="s">
        <v>520</v>
      </c>
      <c r="AD114" s="279" t="s">
        <v>491</v>
      </c>
      <c r="AE114" s="279">
        <v>86054</v>
      </c>
      <c r="AF114" s="279" t="s">
        <v>473</v>
      </c>
      <c r="AG114" s="282"/>
      <c r="AH114" s="282"/>
      <c r="AI114" s="279">
        <v>20240510</v>
      </c>
      <c r="AJ114" s="462" t="s">
        <v>1220</v>
      </c>
      <c r="AK114" s="279"/>
      <c r="AL114" s="279" t="str">
        <f>IF(AB114="Y","단종모델",LEFT(N114,3)&amp;IFERROR(VLOOKUP(LEFT(N114,3)&amp;P114,#REF!,2,0),""))</f>
        <v>KIA</v>
      </c>
      <c r="AM114" s="469" t="str">
        <f t="shared" ref="AM114:AM143" si="212">O114&amp;" "&amp;Q114&amp;" "&amp;R114</f>
        <v xml:space="preserve">모닝 가솔린 1.0 </v>
      </c>
      <c r="AN114" s="279">
        <f t="shared" si="125"/>
        <v>16550000</v>
      </c>
      <c r="AO114" s="279">
        <f t="shared" si="126"/>
        <v>998</v>
      </c>
      <c r="AP114" s="279" t="str">
        <f t="shared" si="127"/>
        <v>M</v>
      </c>
      <c r="AQ114" s="279">
        <f t="shared" si="128"/>
        <v>5</v>
      </c>
      <c r="AR114" s="279" t="str">
        <f t="shared" si="129"/>
        <v>승용</v>
      </c>
      <c r="AS114" s="279" t="str">
        <f t="shared" si="130"/>
        <v>승용</v>
      </c>
      <c r="AT114" s="279" t="str">
        <f t="shared" si="111"/>
        <v>1급</v>
      </c>
      <c r="AU114" s="279" t="str">
        <f t="shared" si="112"/>
        <v>04:서산</v>
      </c>
      <c r="AV114" s="279">
        <f t="shared" si="150"/>
        <v>1900</v>
      </c>
      <c r="AW114" s="279" t="str">
        <f t="shared" si="113"/>
        <v>D</v>
      </c>
      <c r="AX114" s="279" t="str">
        <f t="shared" si="114"/>
        <v>경차</v>
      </c>
      <c r="AY114" s="468">
        <v>3.5000000000000003E-2</v>
      </c>
      <c r="AZ114" s="468"/>
      <c r="BA114" s="279" t="s">
        <v>1689</v>
      </c>
      <c r="BB114" s="279" t="s">
        <v>1636</v>
      </c>
      <c r="BC114" s="279"/>
      <c r="BD114" s="279" t="s">
        <v>1474</v>
      </c>
      <c r="BE114" s="279" t="str">
        <f t="shared" si="149"/>
        <v>기아</v>
      </c>
      <c r="BF114" s="581">
        <v>4.1000000000000002E-2</v>
      </c>
      <c r="BG114" s="281">
        <v>0</v>
      </c>
      <c r="BH114" s="281">
        <v>0</v>
      </c>
      <c r="BI114" s="279"/>
      <c r="BJ114" s="279"/>
      <c r="BK114" s="279"/>
      <c r="BL114" s="279"/>
      <c r="BM114" s="279" t="s">
        <v>1548</v>
      </c>
      <c r="BN114" s="279"/>
      <c r="BO114" s="279"/>
      <c r="BP114" s="500">
        <f t="shared" si="147"/>
        <v>0.14499999999999999</v>
      </c>
      <c r="BQ114" s="973">
        <f t="shared" si="148"/>
        <v>0.13799999999999998</v>
      </c>
    </row>
    <row r="115" spans="1:69" s="460" customFormat="1" ht="15" customHeight="1">
      <c r="A115" s="281">
        <v>99</v>
      </c>
      <c r="B115" s="279">
        <v>455486055</v>
      </c>
      <c r="C115" s="279" t="s">
        <v>521</v>
      </c>
      <c r="D115" s="279" t="s">
        <v>473</v>
      </c>
      <c r="E115" s="279" t="s">
        <v>482</v>
      </c>
      <c r="F115" s="279" t="s">
        <v>474</v>
      </c>
      <c r="G115" s="279">
        <v>12900000</v>
      </c>
      <c r="H115" s="279">
        <v>998</v>
      </c>
      <c r="I115" s="279">
        <v>0</v>
      </c>
      <c r="J115" s="279">
        <v>2</v>
      </c>
      <c r="K115" s="279" t="s">
        <v>475</v>
      </c>
      <c r="L115" s="279">
        <v>0</v>
      </c>
      <c r="M115" s="279" t="s">
        <v>111</v>
      </c>
      <c r="N115" s="279" t="s">
        <v>522</v>
      </c>
      <c r="O115" s="279" t="s">
        <v>1438</v>
      </c>
      <c r="P115" s="279" t="s">
        <v>1439</v>
      </c>
      <c r="Q115" s="279" t="s">
        <v>1441</v>
      </c>
      <c r="R115" s="279"/>
      <c r="S115" s="279">
        <v>35</v>
      </c>
      <c r="T115" s="279">
        <v>15.1</v>
      </c>
      <c r="U115" s="279" t="s">
        <v>552</v>
      </c>
      <c r="V115" s="279" t="s">
        <v>552</v>
      </c>
      <c r="W115" s="279" t="s">
        <v>473</v>
      </c>
      <c r="X115" s="279" t="s">
        <v>519</v>
      </c>
      <c r="Y115" s="282"/>
      <c r="Z115" s="282"/>
      <c r="AA115" s="282"/>
      <c r="AB115" s="279" t="s">
        <v>18</v>
      </c>
      <c r="AC115" s="279" t="s">
        <v>520</v>
      </c>
      <c r="AD115" s="279" t="s">
        <v>491</v>
      </c>
      <c r="AE115" s="279">
        <v>86055</v>
      </c>
      <c r="AF115" s="279" t="s">
        <v>473</v>
      </c>
      <c r="AG115" s="282"/>
      <c r="AH115" s="282"/>
      <c r="AI115" s="279">
        <v>20240510</v>
      </c>
      <c r="AJ115" s="462" t="s">
        <v>1220</v>
      </c>
      <c r="AK115" s="279"/>
      <c r="AL115" s="279" t="str">
        <f>IF(AB115="Y","단종모델",LEFT(N115,3)&amp;IFERROR(VLOOKUP(LEFT(N115,3)&amp;P115,#REF!,2,0),""))</f>
        <v>KIA</v>
      </c>
      <c r="AM115" s="469" t="str">
        <f t="shared" si="212"/>
        <v xml:space="preserve">모닝 가솔린 1.0 (밴) </v>
      </c>
      <c r="AN115" s="279">
        <f t="shared" si="125"/>
        <v>12900000</v>
      </c>
      <c r="AO115" s="279">
        <f t="shared" si="126"/>
        <v>998</v>
      </c>
      <c r="AP115" s="279" t="str">
        <f t="shared" si="127"/>
        <v>M</v>
      </c>
      <c r="AQ115" s="279">
        <f t="shared" si="128"/>
        <v>2</v>
      </c>
      <c r="AR115" s="279" t="str">
        <f t="shared" si="129"/>
        <v>승용</v>
      </c>
      <c r="AS115" s="279" t="str">
        <f t="shared" si="130"/>
        <v>승용</v>
      </c>
      <c r="AT115" s="279" t="str">
        <f t="shared" si="111"/>
        <v>1급</v>
      </c>
      <c r="AU115" s="279" t="str">
        <f t="shared" si="112"/>
        <v>04:서산</v>
      </c>
      <c r="AV115" s="279">
        <f t="shared" si="150"/>
        <v>1900</v>
      </c>
      <c r="AW115" s="279" t="str">
        <f t="shared" si="113"/>
        <v>D</v>
      </c>
      <c r="AX115" s="279" t="str">
        <f t="shared" si="114"/>
        <v>경차</v>
      </c>
      <c r="AY115" s="468">
        <v>3.5000000000000003E-2</v>
      </c>
      <c r="AZ115" s="468"/>
      <c r="BA115" s="279" t="s">
        <v>1694</v>
      </c>
      <c r="BB115" s="279" t="s">
        <v>1639</v>
      </c>
      <c r="BC115" s="279"/>
      <c r="BD115" s="279" t="s">
        <v>1474</v>
      </c>
      <c r="BE115" s="279" t="str">
        <f t="shared" si="149"/>
        <v>기아</v>
      </c>
      <c r="BF115" s="581">
        <v>4.1000000000000002E-2</v>
      </c>
      <c r="BG115" s="281">
        <v>0</v>
      </c>
      <c r="BH115" s="281">
        <v>0</v>
      </c>
      <c r="BI115" s="279"/>
      <c r="BJ115" s="279"/>
      <c r="BK115" s="279"/>
      <c r="BL115" s="279"/>
      <c r="BM115" s="279" t="s">
        <v>1548</v>
      </c>
      <c r="BN115" s="279"/>
      <c r="BO115" s="279"/>
      <c r="BP115" s="500">
        <f t="shared" si="147"/>
        <v>0.14499999999999999</v>
      </c>
      <c r="BQ115" s="973">
        <f t="shared" si="148"/>
        <v>0.13799999999999998</v>
      </c>
    </row>
    <row r="116" spans="1:69" s="460" customFormat="1" ht="15" customHeight="1">
      <c r="A116" s="281">
        <v>100</v>
      </c>
      <c r="B116" s="282">
        <v>440280480</v>
      </c>
      <c r="C116" s="282" t="s">
        <v>521</v>
      </c>
      <c r="D116" s="282" t="s">
        <v>473</v>
      </c>
      <c r="E116" s="282" t="s">
        <v>482</v>
      </c>
      <c r="F116" s="282" t="s">
        <v>474</v>
      </c>
      <c r="G116" s="282">
        <v>15850000</v>
      </c>
      <c r="H116" s="284">
        <v>998</v>
      </c>
      <c r="I116" s="282">
        <v>0</v>
      </c>
      <c r="J116" s="282">
        <v>5</v>
      </c>
      <c r="K116" s="282" t="s">
        <v>475</v>
      </c>
      <c r="L116" s="282">
        <v>0</v>
      </c>
      <c r="M116" s="282" t="s">
        <v>111</v>
      </c>
      <c r="N116" s="282" t="s">
        <v>522</v>
      </c>
      <c r="O116" s="282" t="s">
        <v>117</v>
      </c>
      <c r="P116" s="282" t="s">
        <v>116</v>
      </c>
      <c r="Q116" s="282" t="s">
        <v>1124</v>
      </c>
      <c r="R116" s="282"/>
      <c r="S116" s="282">
        <v>0</v>
      </c>
      <c r="T116" s="282">
        <v>13</v>
      </c>
      <c r="U116" s="282" t="s">
        <v>525</v>
      </c>
      <c r="V116" s="282" t="s">
        <v>525</v>
      </c>
      <c r="W116" s="282" t="s">
        <v>473</v>
      </c>
      <c r="X116" s="282" t="s">
        <v>519</v>
      </c>
      <c r="Y116" s="282"/>
      <c r="Z116" s="282"/>
      <c r="AA116" s="282"/>
      <c r="AB116" s="282" t="s">
        <v>18</v>
      </c>
      <c r="AC116" s="282" t="s">
        <v>520</v>
      </c>
      <c r="AD116" s="282" t="s">
        <v>491</v>
      </c>
      <c r="AE116" s="282">
        <v>80480</v>
      </c>
      <c r="AF116" s="282" t="s">
        <v>473</v>
      </c>
      <c r="AG116" s="279"/>
      <c r="AH116" s="279"/>
      <c r="AI116" s="279">
        <v>20230511</v>
      </c>
      <c r="AJ116" s="462" t="s">
        <v>1220</v>
      </c>
      <c r="AK116" s="279"/>
      <c r="AL116" s="279" t="str">
        <f>IF(AB116="Y","단종모델",LEFT(N116,3)&amp;IFERROR(VLOOKUP(LEFT(N116,3)&amp;P116,#REF!,2,0),""))</f>
        <v>KIA</v>
      </c>
      <c r="AM116" s="469" t="str">
        <f t="shared" si="212"/>
        <v xml:space="preserve">레이 가솔린 1.0 </v>
      </c>
      <c r="AN116" s="279">
        <f t="shared" si="125"/>
        <v>15850000</v>
      </c>
      <c r="AO116" s="279">
        <f t="shared" si="126"/>
        <v>998</v>
      </c>
      <c r="AP116" s="279" t="str">
        <f t="shared" si="127"/>
        <v>M</v>
      </c>
      <c r="AQ116" s="279">
        <f t="shared" si="128"/>
        <v>5</v>
      </c>
      <c r="AR116" s="279" t="str">
        <f t="shared" si="129"/>
        <v>승용</v>
      </c>
      <c r="AS116" s="279" t="str">
        <f t="shared" si="130"/>
        <v>승용</v>
      </c>
      <c r="AT116" s="279" t="str">
        <f t="shared" si="111"/>
        <v>1급</v>
      </c>
      <c r="AU116" s="279" t="str">
        <f t="shared" si="112"/>
        <v>04:서산</v>
      </c>
      <c r="AV116" s="279">
        <f t="shared" si="150"/>
        <v>1900</v>
      </c>
      <c r="AW116" s="279" t="str">
        <f t="shared" si="113"/>
        <v>D</v>
      </c>
      <c r="AX116" s="279" t="str">
        <f t="shared" si="114"/>
        <v>경차</v>
      </c>
      <c r="AY116" s="468">
        <v>0.03</v>
      </c>
      <c r="AZ116" s="468"/>
      <c r="BA116" s="279" t="s">
        <v>1695</v>
      </c>
      <c r="BB116" s="279" t="s">
        <v>1640</v>
      </c>
      <c r="BC116" s="279"/>
      <c r="BD116" s="279" t="s">
        <v>1474</v>
      </c>
      <c r="BE116" s="279" t="str">
        <f t="shared" si="149"/>
        <v>기아</v>
      </c>
      <c r="BF116" s="581">
        <v>4.1000000000000002E-2</v>
      </c>
      <c r="BG116" s="281">
        <v>0</v>
      </c>
      <c r="BH116" s="281">
        <v>0</v>
      </c>
      <c r="BI116" s="279"/>
      <c r="BJ116" s="279"/>
      <c r="BK116" s="279"/>
      <c r="BL116" s="279"/>
      <c r="BM116" s="279" t="s">
        <v>1548</v>
      </c>
      <c r="BN116" s="279"/>
      <c r="BO116" s="279"/>
      <c r="BP116" s="500">
        <f t="shared" si="147"/>
        <v>0.14499999999999999</v>
      </c>
      <c r="BQ116" s="973">
        <f t="shared" si="148"/>
        <v>0.13799999999999998</v>
      </c>
    </row>
    <row r="117" spans="1:69" s="460" customFormat="1" ht="15" customHeight="1">
      <c r="A117" s="281">
        <v>101</v>
      </c>
      <c r="B117" s="279">
        <v>440286820</v>
      </c>
      <c r="C117" s="279" t="s">
        <v>521</v>
      </c>
      <c r="D117" s="279" t="s">
        <v>473</v>
      </c>
      <c r="E117" s="279" t="s">
        <v>482</v>
      </c>
      <c r="F117" s="279" t="s">
        <v>474</v>
      </c>
      <c r="G117" s="279">
        <v>13900000</v>
      </c>
      <c r="H117" s="279">
        <v>998</v>
      </c>
      <c r="I117" s="279">
        <v>0</v>
      </c>
      <c r="J117" s="279">
        <v>2</v>
      </c>
      <c r="K117" s="279" t="s">
        <v>475</v>
      </c>
      <c r="L117" s="279">
        <v>0</v>
      </c>
      <c r="M117" s="279" t="s">
        <v>111</v>
      </c>
      <c r="N117" s="279" t="s">
        <v>522</v>
      </c>
      <c r="O117" s="279" t="s">
        <v>117</v>
      </c>
      <c r="P117" s="279" t="s">
        <v>116</v>
      </c>
      <c r="Q117" s="279" t="s">
        <v>1443</v>
      </c>
      <c r="R117" s="279"/>
      <c r="S117" s="279">
        <v>0</v>
      </c>
      <c r="T117" s="279">
        <v>13</v>
      </c>
      <c r="U117" s="279" t="s">
        <v>525</v>
      </c>
      <c r="V117" s="279" t="s">
        <v>525</v>
      </c>
      <c r="W117" s="279" t="s">
        <v>473</v>
      </c>
      <c r="X117" s="279" t="s">
        <v>519</v>
      </c>
      <c r="Y117" s="279"/>
      <c r="Z117" s="279"/>
      <c r="AA117" s="279"/>
      <c r="AB117" s="279" t="s">
        <v>18</v>
      </c>
      <c r="AC117" s="279" t="s">
        <v>520</v>
      </c>
      <c r="AD117" s="279" t="s">
        <v>491</v>
      </c>
      <c r="AE117" s="279">
        <v>86820</v>
      </c>
      <c r="AF117" s="279" t="s">
        <v>473</v>
      </c>
      <c r="AG117" s="279"/>
      <c r="AH117" s="279"/>
      <c r="AI117" s="279">
        <v>20240510</v>
      </c>
      <c r="AJ117" s="462" t="s">
        <v>1220</v>
      </c>
      <c r="AK117" s="279"/>
      <c r="AL117" s="279" t="str">
        <f>IF(AB117="Y","단종모델",LEFT(N117,3)&amp;IFERROR(VLOOKUP(LEFT(N117,3)&amp;P117,#REF!,2,0),""))</f>
        <v>KIA</v>
      </c>
      <c r="AM117" s="469" t="str">
        <f t="shared" si="212"/>
        <v xml:space="preserve">레이 가솔린 1.0 (2인승 밴) </v>
      </c>
      <c r="AN117" s="279">
        <f t="shared" si="125"/>
        <v>13900000</v>
      </c>
      <c r="AO117" s="279">
        <f t="shared" si="126"/>
        <v>998</v>
      </c>
      <c r="AP117" s="279" t="str">
        <f t="shared" si="127"/>
        <v>M</v>
      </c>
      <c r="AQ117" s="279">
        <f t="shared" si="128"/>
        <v>2</v>
      </c>
      <c r="AR117" s="279" t="str">
        <f t="shared" si="129"/>
        <v>승용</v>
      </c>
      <c r="AS117" s="279" t="str">
        <f t="shared" si="130"/>
        <v>승용</v>
      </c>
      <c r="AT117" s="279" t="str">
        <f t="shared" si="111"/>
        <v>1급</v>
      </c>
      <c r="AU117" s="279" t="str">
        <f t="shared" si="112"/>
        <v>04:서산</v>
      </c>
      <c r="AV117" s="279">
        <f t="shared" si="150"/>
        <v>1900</v>
      </c>
      <c r="AW117" s="279" t="str">
        <f t="shared" si="113"/>
        <v>D</v>
      </c>
      <c r="AX117" s="279" t="str">
        <f t="shared" si="114"/>
        <v>경차</v>
      </c>
      <c r="AY117" s="468">
        <v>0.03</v>
      </c>
      <c r="AZ117" s="468"/>
      <c r="BA117" s="279" t="s">
        <v>1689</v>
      </c>
      <c r="BB117" s="279" t="s">
        <v>1636</v>
      </c>
      <c r="BC117" s="279"/>
      <c r="BD117" s="279" t="s">
        <v>1474</v>
      </c>
      <c r="BE117" s="279" t="str">
        <f t="shared" si="149"/>
        <v>기아</v>
      </c>
      <c r="BF117" s="581">
        <v>4.1000000000000002E-2</v>
      </c>
      <c r="BG117" s="281">
        <v>0</v>
      </c>
      <c r="BH117" s="281">
        <v>0</v>
      </c>
      <c r="BI117" s="279"/>
      <c r="BJ117" s="279"/>
      <c r="BK117" s="279"/>
      <c r="BL117" s="279"/>
      <c r="BM117" s="279" t="s">
        <v>1548</v>
      </c>
      <c r="BN117" s="279"/>
      <c r="BO117" s="279"/>
      <c r="BP117" s="500">
        <f t="shared" si="147"/>
        <v>0.14499999999999999</v>
      </c>
      <c r="BQ117" s="973">
        <f t="shared" si="148"/>
        <v>0.13799999999999998</v>
      </c>
    </row>
    <row r="118" spans="1:69" s="460" customFormat="1" ht="15" customHeight="1">
      <c r="A118" s="281">
        <v>104</v>
      </c>
      <c r="B118" s="279">
        <v>458586760</v>
      </c>
      <c r="C118" s="279" t="s">
        <v>521</v>
      </c>
      <c r="D118" s="279" t="s">
        <v>473</v>
      </c>
      <c r="E118" s="279" t="s">
        <v>482</v>
      </c>
      <c r="F118" s="279" t="s">
        <v>474</v>
      </c>
      <c r="G118" s="279">
        <v>28680000</v>
      </c>
      <c r="H118" s="279">
        <v>1598</v>
      </c>
      <c r="I118" s="279">
        <v>0</v>
      </c>
      <c r="J118" s="279">
        <v>5</v>
      </c>
      <c r="K118" s="279" t="s">
        <v>475</v>
      </c>
      <c r="L118" s="279">
        <v>0</v>
      </c>
      <c r="M118" s="279" t="s">
        <v>111</v>
      </c>
      <c r="N118" s="279" t="s">
        <v>522</v>
      </c>
      <c r="O118" s="279" t="s">
        <v>112</v>
      </c>
      <c r="P118" s="279" t="s">
        <v>1444</v>
      </c>
      <c r="Q118" s="279" t="s">
        <v>1422</v>
      </c>
      <c r="R118" s="279"/>
      <c r="S118" s="279">
        <v>0</v>
      </c>
      <c r="T118" s="279">
        <v>13.7</v>
      </c>
      <c r="U118" s="279" t="s">
        <v>502</v>
      </c>
      <c r="V118" s="279" t="s">
        <v>502</v>
      </c>
      <c r="W118" s="279" t="s">
        <v>473</v>
      </c>
      <c r="X118" s="279" t="s">
        <v>478</v>
      </c>
      <c r="Y118" s="279"/>
      <c r="Z118" s="279"/>
      <c r="AA118" s="279"/>
      <c r="AB118" s="279" t="s">
        <v>20</v>
      </c>
      <c r="AC118" s="279" t="s">
        <v>480</v>
      </c>
      <c r="AD118" s="279" t="s">
        <v>491</v>
      </c>
      <c r="AE118" s="279">
        <v>86760</v>
      </c>
      <c r="AF118" s="279" t="s">
        <v>473</v>
      </c>
      <c r="AG118" s="279"/>
      <c r="AH118" s="279">
        <v>0</v>
      </c>
      <c r="AI118" s="279">
        <v>20240510</v>
      </c>
      <c r="AJ118" s="462" t="s">
        <v>1151</v>
      </c>
      <c r="AK118" s="279"/>
      <c r="AL118" s="279" t="str">
        <f>IF(AB118="Y","단종모델",LEFT(N118,3)&amp;IFERROR(VLOOKUP(LEFT(N118,3)&amp;P118,#REF!,2,0),""))</f>
        <v>KIA</v>
      </c>
      <c r="AM118" s="469" t="str">
        <f t="shared" si="212"/>
        <v xml:space="preserve">K5 가솔린 터보 1.6 </v>
      </c>
      <c r="AN118" s="279">
        <f t="shared" si="125"/>
        <v>28680000</v>
      </c>
      <c r="AO118" s="279">
        <f t="shared" si="126"/>
        <v>1598</v>
      </c>
      <c r="AP118" s="279" t="str">
        <f t="shared" si="127"/>
        <v>M</v>
      </c>
      <c r="AQ118" s="279">
        <f t="shared" si="128"/>
        <v>5</v>
      </c>
      <c r="AR118" s="279" t="str">
        <f t="shared" si="129"/>
        <v>승용</v>
      </c>
      <c r="AS118" s="279" t="str">
        <f t="shared" si="130"/>
        <v>승용</v>
      </c>
      <c r="AT118" s="279" t="str">
        <f t="shared" si="111"/>
        <v>2급</v>
      </c>
      <c r="AU118" s="279" t="str">
        <f t="shared" si="112"/>
        <v>06:화성</v>
      </c>
      <c r="AV118" s="279">
        <f t="shared" si="150"/>
        <v>1900</v>
      </c>
      <c r="AW118" s="279" t="str">
        <f t="shared" si="113"/>
        <v>D</v>
      </c>
      <c r="AX118" s="279" t="str">
        <f t="shared" si="114"/>
        <v>전략</v>
      </c>
      <c r="AY118" s="975">
        <v>4.4999999999999998E-2</v>
      </c>
      <c r="AZ118" s="468"/>
      <c r="BA118" s="279" t="s">
        <v>1554</v>
      </c>
      <c r="BB118" s="279" t="s">
        <v>1549</v>
      </c>
      <c r="BC118" s="279"/>
      <c r="BD118" s="279" t="s">
        <v>1474</v>
      </c>
      <c r="BE118" s="279" t="str">
        <f t="shared" si="149"/>
        <v>기아</v>
      </c>
      <c r="BF118" s="581">
        <v>4.1000000000000002E-2</v>
      </c>
      <c r="BG118" s="281">
        <v>0</v>
      </c>
      <c r="BH118" s="281">
        <v>0</v>
      </c>
      <c r="BI118" s="279"/>
      <c r="BJ118" s="279"/>
      <c r="BK118" s="279"/>
      <c r="BL118" s="279"/>
      <c r="BM118" s="279" t="s">
        <v>1548</v>
      </c>
      <c r="BN118" s="279"/>
      <c r="BO118" s="279"/>
      <c r="BP118" s="500">
        <f t="shared" si="147"/>
        <v>6.8000000000000005E-2</v>
      </c>
      <c r="BQ118" s="973">
        <f t="shared" si="148"/>
        <v>6.1000000000000006E-2</v>
      </c>
    </row>
    <row r="119" spans="1:69" s="460" customFormat="1" ht="15" customHeight="1">
      <c r="A119" s="281">
        <v>105</v>
      </c>
      <c r="B119" s="279">
        <v>458586757</v>
      </c>
      <c r="C119" s="279" t="s">
        <v>521</v>
      </c>
      <c r="D119" s="279" t="s">
        <v>473</v>
      </c>
      <c r="E119" s="279" t="s">
        <v>482</v>
      </c>
      <c r="F119" s="279" t="s">
        <v>474</v>
      </c>
      <c r="G119" s="279">
        <v>31350000</v>
      </c>
      <c r="H119" s="279">
        <v>1999</v>
      </c>
      <c r="I119" s="279">
        <v>0</v>
      </c>
      <c r="J119" s="279">
        <v>5</v>
      </c>
      <c r="K119" s="279" t="s">
        <v>475</v>
      </c>
      <c r="L119" s="279">
        <v>0</v>
      </c>
      <c r="M119" s="279" t="s">
        <v>111</v>
      </c>
      <c r="N119" s="279" t="s">
        <v>522</v>
      </c>
      <c r="O119" s="279" t="s">
        <v>112</v>
      </c>
      <c r="P119" s="279" t="s">
        <v>1444</v>
      </c>
      <c r="Q119" s="279" t="s">
        <v>1425</v>
      </c>
      <c r="R119" s="279"/>
      <c r="S119" s="279">
        <v>0</v>
      </c>
      <c r="T119" s="279">
        <v>12.6</v>
      </c>
      <c r="U119" s="279" t="s">
        <v>502</v>
      </c>
      <c r="V119" s="279" t="s">
        <v>502</v>
      </c>
      <c r="W119" s="279" t="s">
        <v>473</v>
      </c>
      <c r="X119" s="279" t="s">
        <v>498</v>
      </c>
      <c r="Y119" s="279"/>
      <c r="Z119" s="279"/>
      <c r="AA119" s="279"/>
      <c r="AB119" s="279" t="s">
        <v>20</v>
      </c>
      <c r="AC119" s="279" t="s">
        <v>499</v>
      </c>
      <c r="AD119" s="279" t="s">
        <v>491</v>
      </c>
      <c r="AE119" s="279">
        <v>86757</v>
      </c>
      <c r="AF119" s="279" t="s">
        <v>473</v>
      </c>
      <c r="AG119" s="279"/>
      <c r="AH119" s="279">
        <v>0</v>
      </c>
      <c r="AI119" s="279">
        <v>20240510</v>
      </c>
      <c r="AJ119" s="462" t="s">
        <v>1151</v>
      </c>
      <c r="AK119" s="279"/>
      <c r="AL119" s="279" t="str">
        <f>IF(AB119="Y","단종모델",LEFT(N119,3)&amp;IFERROR(VLOOKUP(LEFT(N119,3)&amp;P119,#REF!,2,0),""))</f>
        <v>KIA</v>
      </c>
      <c r="AM119" s="469" t="str">
        <f t="shared" si="212"/>
        <v xml:space="preserve">K5 가솔린 2.0 </v>
      </c>
      <c r="AN119" s="279">
        <f t="shared" si="125"/>
        <v>31350000</v>
      </c>
      <c r="AO119" s="279">
        <f t="shared" si="126"/>
        <v>1999</v>
      </c>
      <c r="AP119" s="279" t="str">
        <f t="shared" si="127"/>
        <v>M</v>
      </c>
      <c r="AQ119" s="279">
        <f t="shared" si="128"/>
        <v>5</v>
      </c>
      <c r="AR119" s="279" t="str">
        <f t="shared" si="129"/>
        <v>승용</v>
      </c>
      <c r="AS119" s="279" t="str">
        <f t="shared" si="130"/>
        <v>승용</v>
      </c>
      <c r="AT119" s="279" t="str">
        <f t="shared" si="111"/>
        <v>3급</v>
      </c>
      <c r="AU119" s="279" t="str">
        <f t="shared" si="112"/>
        <v>06:화성</v>
      </c>
      <c r="AV119" s="279">
        <f t="shared" si="150"/>
        <v>1900</v>
      </c>
      <c r="AW119" s="279" t="str">
        <f t="shared" si="113"/>
        <v>D</v>
      </c>
      <c r="AX119" s="279" t="str">
        <f t="shared" si="114"/>
        <v>전략</v>
      </c>
      <c r="AY119" s="975">
        <v>4.4999999999999998E-2</v>
      </c>
      <c r="AZ119" s="468"/>
      <c r="BA119" s="279" t="s">
        <v>1554</v>
      </c>
      <c r="BB119" s="279" t="s">
        <v>1549</v>
      </c>
      <c r="BC119" s="279"/>
      <c r="BD119" s="279" t="s">
        <v>1474</v>
      </c>
      <c r="BE119" s="279" t="str">
        <f t="shared" si="149"/>
        <v>기아</v>
      </c>
      <c r="BF119" s="581">
        <v>4.1000000000000002E-2</v>
      </c>
      <c r="BG119" s="281">
        <v>0</v>
      </c>
      <c r="BH119" s="281">
        <v>0</v>
      </c>
      <c r="BI119" s="279"/>
      <c r="BJ119" s="279"/>
      <c r="BK119" s="279"/>
      <c r="BL119" s="279"/>
      <c r="BM119" s="279" t="s">
        <v>1548</v>
      </c>
      <c r="BN119" s="279"/>
      <c r="BO119" s="279"/>
      <c r="BP119" s="500">
        <f t="shared" si="147"/>
        <v>6.8000000000000005E-2</v>
      </c>
      <c r="BQ119" s="973">
        <f t="shared" si="148"/>
        <v>6.1000000000000006E-2</v>
      </c>
    </row>
    <row r="120" spans="1:69" s="460" customFormat="1" ht="15" customHeight="1">
      <c r="A120" s="281">
        <v>106</v>
      </c>
      <c r="B120" s="279">
        <v>458586763</v>
      </c>
      <c r="C120" s="279" t="s">
        <v>521</v>
      </c>
      <c r="D120" s="279" t="s">
        <v>473</v>
      </c>
      <c r="E120" s="279" t="s">
        <v>482</v>
      </c>
      <c r="F120" s="279" t="s">
        <v>474</v>
      </c>
      <c r="G120" s="279">
        <v>33260000</v>
      </c>
      <c r="H120" s="279">
        <v>1999</v>
      </c>
      <c r="I120" s="279">
        <v>0</v>
      </c>
      <c r="J120" s="279">
        <v>5</v>
      </c>
      <c r="K120" s="279" t="s">
        <v>495</v>
      </c>
      <c r="L120" s="279">
        <v>0</v>
      </c>
      <c r="M120" s="279" t="s">
        <v>111</v>
      </c>
      <c r="N120" s="279" t="s">
        <v>522</v>
      </c>
      <c r="O120" s="279" t="s">
        <v>112</v>
      </c>
      <c r="P120" s="279" t="s">
        <v>1444</v>
      </c>
      <c r="Q120" s="279" t="s">
        <v>1445</v>
      </c>
      <c r="R120" s="279"/>
      <c r="S120" s="279">
        <v>0</v>
      </c>
      <c r="T120" s="279">
        <v>19.8</v>
      </c>
      <c r="U120" s="279" t="s">
        <v>501</v>
      </c>
      <c r="V120" s="279" t="s">
        <v>501</v>
      </c>
      <c r="W120" s="279" t="s">
        <v>473</v>
      </c>
      <c r="X120" s="279" t="s">
        <v>498</v>
      </c>
      <c r="Y120" s="279"/>
      <c r="Z120" s="279"/>
      <c r="AA120" s="279"/>
      <c r="AB120" s="279" t="s">
        <v>20</v>
      </c>
      <c r="AC120" s="279" t="s">
        <v>499</v>
      </c>
      <c r="AD120" s="279" t="s">
        <v>491</v>
      </c>
      <c r="AE120" s="279">
        <v>86763</v>
      </c>
      <c r="AF120" s="279" t="s">
        <v>473</v>
      </c>
      <c r="AG120" s="279"/>
      <c r="AH120" s="279">
        <v>0</v>
      </c>
      <c r="AI120" s="279">
        <v>20240510</v>
      </c>
      <c r="AJ120" s="462" t="s">
        <v>1151</v>
      </c>
      <c r="AK120" s="279"/>
      <c r="AL120" s="279" t="str">
        <f>IF(AB120="Y","단종모델",LEFT(N120,3)&amp;IFERROR(VLOOKUP(LEFT(N120,3)&amp;P120,#REF!,2,0),""))</f>
        <v>KIA</v>
      </c>
      <c r="AM120" s="469" t="str">
        <f t="shared" si="212"/>
        <v xml:space="preserve">K5 가솔린 2.0 하이브리드 </v>
      </c>
      <c r="AN120" s="279">
        <f t="shared" si="125"/>
        <v>33260000</v>
      </c>
      <c r="AO120" s="279">
        <f t="shared" si="126"/>
        <v>1999</v>
      </c>
      <c r="AP120" s="279" t="str">
        <f t="shared" si="127"/>
        <v>T</v>
      </c>
      <c r="AQ120" s="279">
        <f t="shared" si="128"/>
        <v>5</v>
      </c>
      <c r="AR120" s="279" t="str">
        <f t="shared" si="129"/>
        <v>승용</v>
      </c>
      <c r="AS120" s="279" t="str">
        <f t="shared" si="130"/>
        <v>승용</v>
      </c>
      <c r="AT120" s="279" t="str">
        <f t="shared" si="111"/>
        <v>3급</v>
      </c>
      <c r="AU120" s="279" t="str">
        <f t="shared" si="112"/>
        <v>06:화성</v>
      </c>
      <c r="AV120" s="279">
        <f t="shared" si="150"/>
        <v>1900</v>
      </c>
      <c r="AW120" s="279" t="str">
        <f t="shared" si="113"/>
        <v>D</v>
      </c>
      <c r="AX120" s="279" t="str">
        <f t="shared" si="114"/>
        <v>전략</v>
      </c>
      <c r="AY120" s="975">
        <v>4.4999999999999998E-2</v>
      </c>
      <c r="AZ120" s="468"/>
      <c r="BA120" s="279" t="s">
        <v>1554</v>
      </c>
      <c r="BB120" s="279" t="s">
        <v>1630</v>
      </c>
      <c r="BC120" s="279"/>
      <c r="BD120" s="279" t="s">
        <v>1474</v>
      </c>
      <c r="BE120" s="279" t="str">
        <f t="shared" si="149"/>
        <v>기아</v>
      </c>
      <c r="BF120" s="581">
        <v>4.1000000000000002E-2</v>
      </c>
      <c r="BG120" s="281">
        <v>0</v>
      </c>
      <c r="BH120" s="281">
        <v>0</v>
      </c>
      <c r="BI120" s="279"/>
      <c r="BJ120" s="279"/>
      <c r="BK120" s="279"/>
      <c r="BL120" s="279"/>
      <c r="BM120" s="279" t="s">
        <v>1548</v>
      </c>
      <c r="BN120" s="279"/>
      <c r="BO120" s="279"/>
      <c r="BP120" s="500">
        <f t="shared" si="147"/>
        <v>6.8000000000000005E-2</v>
      </c>
      <c r="BQ120" s="973">
        <f t="shared" si="148"/>
        <v>6.1000000000000006E-2</v>
      </c>
    </row>
    <row r="121" spans="1:69" s="460" customFormat="1" ht="15" customHeight="1">
      <c r="A121" s="281">
        <v>107</v>
      </c>
      <c r="B121" s="279">
        <v>458586766</v>
      </c>
      <c r="C121" s="279" t="s">
        <v>521</v>
      </c>
      <c r="D121" s="279" t="s">
        <v>473</v>
      </c>
      <c r="E121" s="279" t="s">
        <v>482</v>
      </c>
      <c r="F121" s="279" t="s">
        <v>474</v>
      </c>
      <c r="G121" s="279">
        <v>28530000</v>
      </c>
      <c r="H121" s="279">
        <v>1999</v>
      </c>
      <c r="I121" s="279">
        <v>0</v>
      </c>
      <c r="J121" s="279">
        <v>5</v>
      </c>
      <c r="K121" s="279" t="s">
        <v>508</v>
      </c>
      <c r="L121" s="279">
        <v>0</v>
      </c>
      <c r="M121" s="279" t="s">
        <v>111</v>
      </c>
      <c r="N121" s="279" t="s">
        <v>522</v>
      </c>
      <c r="O121" s="279" t="s">
        <v>112</v>
      </c>
      <c r="P121" s="279" t="s">
        <v>1444</v>
      </c>
      <c r="Q121" s="279" t="s">
        <v>1446</v>
      </c>
      <c r="R121" s="279"/>
      <c r="S121" s="279">
        <v>0</v>
      </c>
      <c r="T121" s="279">
        <v>9.8000000000000007</v>
      </c>
      <c r="U121" s="279" t="s">
        <v>502</v>
      </c>
      <c r="V121" s="279" t="s">
        <v>502</v>
      </c>
      <c r="W121" s="279" t="s">
        <v>473</v>
      </c>
      <c r="X121" s="279" t="s">
        <v>498</v>
      </c>
      <c r="Y121" s="282"/>
      <c r="Z121" s="282"/>
      <c r="AA121" s="282"/>
      <c r="AB121" s="279" t="s">
        <v>20</v>
      </c>
      <c r="AC121" s="279" t="s">
        <v>499</v>
      </c>
      <c r="AD121" s="279" t="s">
        <v>491</v>
      </c>
      <c r="AE121" s="279">
        <v>86766</v>
      </c>
      <c r="AF121" s="279" t="s">
        <v>473</v>
      </c>
      <c r="AG121" s="279"/>
      <c r="AH121" s="279">
        <v>0</v>
      </c>
      <c r="AI121" s="279">
        <v>20240510</v>
      </c>
      <c r="AJ121" s="462" t="s">
        <v>1151</v>
      </c>
      <c r="AK121" s="279"/>
      <c r="AL121" s="279" t="str">
        <f>IF(AB121="Y","단종모델",LEFT(N121,3)&amp;IFERROR(VLOOKUP(LEFT(N121,3)&amp;P121,#REF!,2,0),""))</f>
        <v>KIA</v>
      </c>
      <c r="AM121" s="469" t="str">
        <f t="shared" si="212"/>
        <v xml:space="preserve">K5 LPG 2.0 (일반판매용) </v>
      </c>
      <c r="AN121" s="279">
        <f t="shared" si="125"/>
        <v>28530000</v>
      </c>
      <c r="AO121" s="279">
        <f t="shared" si="126"/>
        <v>1999</v>
      </c>
      <c r="AP121" s="279" t="str">
        <f t="shared" si="127"/>
        <v>L</v>
      </c>
      <c r="AQ121" s="279">
        <f t="shared" si="128"/>
        <v>5</v>
      </c>
      <c r="AR121" s="279" t="str">
        <f t="shared" si="129"/>
        <v>승용</v>
      </c>
      <c r="AS121" s="279" t="str">
        <f t="shared" si="130"/>
        <v>승용</v>
      </c>
      <c r="AT121" s="279" t="str">
        <f t="shared" si="111"/>
        <v>3급</v>
      </c>
      <c r="AU121" s="279" t="str">
        <f t="shared" si="112"/>
        <v>06:화성</v>
      </c>
      <c r="AV121" s="279">
        <f t="shared" si="150"/>
        <v>1900</v>
      </c>
      <c r="AW121" s="279" t="str">
        <f t="shared" si="113"/>
        <v>D</v>
      </c>
      <c r="AX121" s="279" t="str">
        <f t="shared" si="114"/>
        <v>전략</v>
      </c>
      <c r="AY121" s="975">
        <v>4.4999999999999998E-2</v>
      </c>
      <c r="AZ121" s="468"/>
      <c r="BA121" s="279" t="s">
        <v>1652</v>
      </c>
      <c r="BB121" s="279" t="s">
        <v>1629</v>
      </c>
      <c r="BC121" s="279"/>
      <c r="BD121" s="279" t="s">
        <v>1474</v>
      </c>
      <c r="BE121" s="279" t="str">
        <f t="shared" si="149"/>
        <v>기아</v>
      </c>
      <c r="BF121" s="581">
        <v>4.1000000000000002E-2</v>
      </c>
      <c r="BG121" s="281">
        <v>0</v>
      </c>
      <c r="BH121" s="281">
        <v>0</v>
      </c>
      <c r="BI121" s="279"/>
      <c r="BJ121" s="279"/>
      <c r="BK121" s="279"/>
      <c r="BL121" s="279"/>
      <c r="BM121" s="279" t="s">
        <v>1548</v>
      </c>
      <c r="BN121" s="279"/>
      <c r="BO121" s="279"/>
      <c r="BP121" s="500">
        <f t="shared" si="147"/>
        <v>6.8000000000000005E-2</v>
      </c>
      <c r="BQ121" s="973">
        <f t="shared" si="148"/>
        <v>6.1000000000000006E-2</v>
      </c>
    </row>
    <row r="122" spans="1:69" s="460" customFormat="1" ht="15" customHeight="1">
      <c r="A122" s="281">
        <v>108</v>
      </c>
      <c r="B122" s="279">
        <v>458586769</v>
      </c>
      <c r="C122" s="279" t="s">
        <v>521</v>
      </c>
      <c r="D122" s="279" t="s">
        <v>473</v>
      </c>
      <c r="E122" s="279" t="s">
        <v>482</v>
      </c>
      <c r="F122" s="279" t="s">
        <v>474</v>
      </c>
      <c r="G122" s="279">
        <v>24350000</v>
      </c>
      <c r="H122" s="279">
        <v>1999</v>
      </c>
      <c r="I122" s="279">
        <v>0</v>
      </c>
      <c r="J122" s="279">
        <v>5</v>
      </c>
      <c r="K122" s="279" t="s">
        <v>537</v>
      </c>
      <c r="L122" s="279">
        <v>0</v>
      </c>
      <c r="M122" s="279" t="s">
        <v>111</v>
      </c>
      <c r="N122" s="279" t="s">
        <v>522</v>
      </c>
      <c r="O122" s="279" t="s">
        <v>112</v>
      </c>
      <c r="P122" s="279" t="s">
        <v>1444</v>
      </c>
      <c r="Q122" s="279" t="s">
        <v>1447</v>
      </c>
      <c r="R122" s="279"/>
      <c r="S122" s="279">
        <v>0</v>
      </c>
      <c r="T122" s="279">
        <v>9.6999999999999993</v>
      </c>
      <c r="U122" s="279" t="s">
        <v>501</v>
      </c>
      <c r="V122" s="279" t="s">
        <v>501</v>
      </c>
      <c r="W122" s="279" t="s">
        <v>473</v>
      </c>
      <c r="X122" s="279" t="s">
        <v>498</v>
      </c>
      <c r="Y122" s="282"/>
      <c r="Z122" s="282"/>
      <c r="AA122" s="282"/>
      <c r="AB122" s="279" t="s">
        <v>20</v>
      </c>
      <c r="AC122" s="279" t="s">
        <v>499</v>
      </c>
      <c r="AD122" s="279" t="s">
        <v>491</v>
      </c>
      <c r="AE122" s="279">
        <v>86769</v>
      </c>
      <c r="AF122" s="279" t="s">
        <v>473</v>
      </c>
      <c r="AG122" s="279"/>
      <c r="AH122" s="279">
        <v>0</v>
      </c>
      <c r="AI122" s="279">
        <v>20240510</v>
      </c>
      <c r="AJ122" s="462" t="s">
        <v>1151</v>
      </c>
      <c r="AK122" s="279"/>
      <c r="AL122" s="279" t="str">
        <f>IF(AB122="Y","단종모델",LEFT(N122,3)&amp;IFERROR(VLOOKUP(LEFT(N122,3)&amp;P122,#REF!,2,0),""))</f>
        <v>KIA</v>
      </c>
      <c r="AM122" s="469" t="str">
        <f t="shared" si="212"/>
        <v xml:space="preserve">K5 LPG 2.0 (렌터카) </v>
      </c>
      <c r="AN122" s="279">
        <f t="shared" si="125"/>
        <v>24350000</v>
      </c>
      <c r="AO122" s="279">
        <f t="shared" si="126"/>
        <v>1999</v>
      </c>
      <c r="AP122" s="279" t="str">
        <f t="shared" si="127"/>
        <v>R</v>
      </c>
      <c r="AQ122" s="279">
        <f t="shared" si="128"/>
        <v>5</v>
      </c>
      <c r="AR122" s="279" t="str">
        <f t="shared" si="129"/>
        <v>승용</v>
      </c>
      <c r="AS122" s="279" t="str">
        <f t="shared" si="130"/>
        <v>승용</v>
      </c>
      <c r="AT122" s="279" t="str">
        <f t="shared" si="111"/>
        <v>3급</v>
      </c>
      <c r="AU122" s="279" t="str">
        <f t="shared" si="112"/>
        <v>06:화성</v>
      </c>
      <c r="AV122" s="279">
        <f t="shared" si="150"/>
        <v>1900</v>
      </c>
      <c r="AW122" s="279" t="str">
        <f t="shared" si="113"/>
        <v>D</v>
      </c>
      <c r="AX122" s="279" t="str">
        <f t="shared" si="114"/>
        <v>전략</v>
      </c>
      <c r="AY122" s="975">
        <v>4.4999999999999998E-2</v>
      </c>
      <c r="AZ122" s="468"/>
      <c r="BA122" s="279" t="s">
        <v>1652</v>
      </c>
      <c r="BB122" s="279" t="s">
        <v>1629</v>
      </c>
      <c r="BC122" s="279"/>
      <c r="BD122" s="279" t="s">
        <v>1474</v>
      </c>
      <c r="BE122" s="279" t="str">
        <f t="shared" si="149"/>
        <v>기아</v>
      </c>
      <c r="BF122" s="581">
        <v>4.1000000000000002E-2</v>
      </c>
      <c r="BG122" s="281">
        <v>0</v>
      </c>
      <c r="BH122" s="281">
        <v>0</v>
      </c>
      <c r="BI122" s="279"/>
      <c r="BJ122" s="279"/>
      <c r="BK122" s="279"/>
      <c r="BL122" s="279"/>
      <c r="BM122" s="279" t="s">
        <v>1548</v>
      </c>
      <c r="BN122" s="279"/>
      <c r="BO122" s="279"/>
      <c r="BP122" s="500">
        <f t="shared" si="147"/>
        <v>6.8000000000000005E-2</v>
      </c>
      <c r="BQ122" s="973">
        <f t="shared" si="148"/>
        <v>6.1000000000000006E-2</v>
      </c>
    </row>
    <row r="123" spans="1:69" s="460" customFormat="1" ht="15" customHeight="1">
      <c r="A123" s="281">
        <v>109</v>
      </c>
      <c r="B123" s="279">
        <v>466588392</v>
      </c>
      <c r="C123" s="279" t="s">
        <v>521</v>
      </c>
      <c r="D123" s="279" t="s">
        <v>473</v>
      </c>
      <c r="E123" s="279" t="s">
        <v>482</v>
      </c>
      <c r="F123" s="279" t="s">
        <v>474</v>
      </c>
      <c r="G123" s="279">
        <v>37360000</v>
      </c>
      <c r="H123" s="279">
        <v>2497</v>
      </c>
      <c r="I123" s="279">
        <v>0</v>
      </c>
      <c r="J123" s="279">
        <v>5</v>
      </c>
      <c r="K123" s="279" t="s">
        <v>475</v>
      </c>
      <c r="L123" s="279">
        <v>0</v>
      </c>
      <c r="M123" s="279" t="s">
        <v>111</v>
      </c>
      <c r="N123" s="279" t="s">
        <v>522</v>
      </c>
      <c r="O123" s="279" t="s">
        <v>1769</v>
      </c>
      <c r="P123" s="279" t="s">
        <v>562</v>
      </c>
      <c r="Q123" s="279" t="s">
        <v>1541</v>
      </c>
      <c r="R123" s="279"/>
      <c r="S123" s="279">
        <v>0</v>
      </c>
      <c r="T123" s="279">
        <v>12</v>
      </c>
      <c r="U123" s="279" t="s">
        <v>493</v>
      </c>
      <c r="V123" s="279" t="s">
        <v>493</v>
      </c>
      <c r="W123" s="279" t="s">
        <v>473</v>
      </c>
      <c r="X123" s="279" t="s">
        <v>484</v>
      </c>
      <c r="Y123" s="279"/>
      <c r="Z123" s="279"/>
      <c r="AA123" s="279"/>
      <c r="AB123" s="279" t="s">
        <v>20</v>
      </c>
      <c r="AC123" s="279" t="s">
        <v>487</v>
      </c>
      <c r="AD123" s="279" t="s">
        <v>491</v>
      </c>
      <c r="AE123" s="279">
        <v>88392</v>
      </c>
      <c r="AF123" s="279" t="s">
        <v>473</v>
      </c>
      <c r="AG123" s="279"/>
      <c r="AH123" s="279">
        <v>0</v>
      </c>
      <c r="AI123" s="279">
        <v>20240819</v>
      </c>
      <c r="AJ123" s="462" t="s">
        <v>1153</v>
      </c>
      <c r="AK123" s="279"/>
      <c r="AL123" s="279" t="str">
        <f>IF(AB123="Y","단종모델",LEFT(N123,3)&amp;IFERROR(VLOOKUP(LEFT(N123,3)&amp;P123,#REF!,2,0),""))</f>
        <v>KIA</v>
      </c>
      <c r="AM123" s="469" t="str">
        <f t="shared" si="212"/>
        <v xml:space="preserve">K8 가솔린 2.5 </v>
      </c>
      <c r="AN123" s="279">
        <f t="shared" si="125"/>
        <v>37360000</v>
      </c>
      <c r="AO123" s="279">
        <f t="shared" si="126"/>
        <v>2497</v>
      </c>
      <c r="AP123" s="279" t="str">
        <f t="shared" si="127"/>
        <v>M</v>
      </c>
      <c r="AQ123" s="279">
        <f t="shared" si="128"/>
        <v>5</v>
      </c>
      <c r="AR123" s="279" t="str">
        <f t="shared" si="129"/>
        <v>승용</v>
      </c>
      <c r="AS123" s="279" t="str">
        <f t="shared" si="130"/>
        <v>승용</v>
      </c>
      <c r="AT123" s="279" t="str">
        <f t="shared" si="111"/>
        <v>4급</v>
      </c>
      <c r="AU123" s="279" t="str">
        <f t="shared" si="112"/>
        <v>06:화성</v>
      </c>
      <c r="AV123" s="279">
        <f t="shared" si="150"/>
        <v>1900</v>
      </c>
      <c r="AW123" s="279" t="str">
        <f t="shared" si="113"/>
        <v>D</v>
      </c>
      <c r="AX123" s="279" t="str">
        <f t="shared" si="114"/>
        <v>전략P</v>
      </c>
      <c r="AY123" s="975">
        <v>4.4999999999999998E-2</v>
      </c>
      <c r="AZ123" s="468"/>
      <c r="BA123" s="279" t="s">
        <v>1693</v>
      </c>
      <c r="BB123" s="279" t="s">
        <v>1551</v>
      </c>
      <c r="BC123" s="279"/>
      <c r="BD123" s="279" t="s">
        <v>1184</v>
      </c>
      <c r="BE123" s="279" t="str">
        <f t="shared" si="149"/>
        <v>기아</v>
      </c>
      <c r="BF123" s="581">
        <v>4.1000000000000002E-2</v>
      </c>
      <c r="BG123" s="281">
        <v>0</v>
      </c>
      <c r="BH123" s="281">
        <v>223000</v>
      </c>
      <c r="BI123" s="279"/>
      <c r="BJ123" s="279"/>
      <c r="BK123" s="279"/>
      <c r="BL123" s="279"/>
      <c r="BM123" s="279" t="s">
        <v>1548</v>
      </c>
      <c r="BN123" s="279"/>
      <c r="BO123" s="279"/>
      <c r="BP123" s="500">
        <f t="shared" si="147"/>
        <v>6.2E-2</v>
      </c>
      <c r="BQ123" s="973">
        <f t="shared" si="148"/>
        <v>5.5E-2</v>
      </c>
    </row>
    <row r="124" spans="1:69" s="460" customFormat="1" ht="15" customHeight="1">
      <c r="A124" s="281">
        <v>110</v>
      </c>
      <c r="B124" s="279">
        <v>466588396</v>
      </c>
      <c r="C124" s="279" t="s">
        <v>521</v>
      </c>
      <c r="D124" s="279" t="s">
        <v>473</v>
      </c>
      <c r="E124" s="279" t="s">
        <v>482</v>
      </c>
      <c r="F124" s="279" t="s">
        <v>474</v>
      </c>
      <c r="G124" s="279">
        <v>40480000</v>
      </c>
      <c r="H124" s="279">
        <v>3470</v>
      </c>
      <c r="I124" s="279">
        <v>0</v>
      </c>
      <c r="J124" s="279">
        <v>5</v>
      </c>
      <c r="K124" s="279" t="s">
        <v>475</v>
      </c>
      <c r="L124" s="279">
        <v>0</v>
      </c>
      <c r="M124" s="279" t="s">
        <v>111</v>
      </c>
      <c r="N124" s="279" t="s">
        <v>522</v>
      </c>
      <c r="O124" s="279" t="s">
        <v>1769</v>
      </c>
      <c r="P124" s="279" t="s">
        <v>562</v>
      </c>
      <c r="Q124" s="279" t="s">
        <v>1236</v>
      </c>
      <c r="R124" s="279"/>
      <c r="S124" s="279">
        <v>0</v>
      </c>
      <c r="T124" s="279">
        <v>10.1</v>
      </c>
      <c r="U124" s="279" t="s">
        <v>483</v>
      </c>
      <c r="V124" s="279" t="s">
        <v>483</v>
      </c>
      <c r="W124" s="279" t="s">
        <v>473</v>
      </c>
      <c r="X124" s="279" t="s">
        <v>484</v>
      </c>
      <c r="Y124" s="279"/>
      <c r="Z124" s="279"/>
      <c r="AA124" s="279"/>
      <c r="AB124" s="279" t="s">
        <v>20</v>
      </c>
      <c r="AC124" s="279" t="s">
        <v>518</v>
      </c>
      <c r="AD124" s="279" t="s">
        <v>491</v>
      </c>
      <c r="AE124" s="279">
        <v>88396</v>
      </c>
      <c r="AF124" s="279" t="s">
        <v>473</v>
      </c>
      <c r="AG124" s="279"/>
      <c r="AH124" s="279"/>
      <c r="AI124" s="279">
        <v>20240819</v>
      </c>
      <c r="AJ124" s="462" t="s">
        <v>1153</v>
      </c>
      <c r="AK124" s="279"/>
      <c r="AL124" s="279" t="str">
        <f>IF(AB124="Y","단종모델",LEFT(N124,3)&amp;IFERROR(VLOOKUP(LEFT(N124,3)&amp;P124,#REF!,2,0),""))</f>
        <v>KIA</v>
      </c>
      <c r="AM124" s="469" t="str">
        <f t="shared" si="212"/>
        <v xml:space="preserve">K8 가솔린 3.5 </v>
      </c>
      <c r="AN124" s="279">
        <f t="shared" si="125"/>
        <v>40480000</v>
      </c>
      <c r="AO124" s="279">
        <f t="shared" si="126"/>
        <v>3470</v>
      </c>
      <c r="AP124" s="279" t="str">
        <f t="shared" si="127"/>
        <v>M</v>
      </c>
      <c r="AQ124" s="279">
        <f t="shared" si="128"/>
        <v>5</v>
      </c>
      <c r="AR124" s="279" t="str">
        <f t="shared" si="129"/>
        <v>승용</v>
      </c>
      <c r="AS124" s="279" t="str">
        <f t="shared" si="130"/>
        <v>승용</v>
      </c>
      <c r="AT124" s="279" t="str">
        <f t="shared" si="111"/>
        <v>5급</v>
      </c>
      <c r="AU124" s="279" t="str">
        <f t="shared" si="112"/>
        <v>06:화성</v>
      </c>
      <c r="AV124" s="279">
        <f t="shared" si="150"/>
        <v>1900</v>
      </c>
      <c r="AW124" s="279" t="str">
        <f t="shared" si="113"/>
        <v>D</v>
      </c>
      <c r="AX124" s="279" t="str">
        <f t="shared" si="114"/>
        <v>전략P</v>
      </c>
      <c r="AY124" s="975">
        <v>4.4999999999999998E-2</v>
      </c>
      <c r="AZ124" s="468"/>
      <c r="BA124" s="279" t="s">
        <v>1686</v>
      </c>
      <c r="BB124" s="279" t="s">
        <v>1642</v>
      </c>
      <c r="BC124" s="279"/>
      <c r="BD124" s="279" t="s">
        <v>1184</v>
      </c>
      <c r="BE124" s="279" t="str">
        <f t="shared" si="149"/>
        <v>기아</v>
      </c>
      <c r="BF124" s="581">
        <v>4.1000000000000002E-2</v>
      </c>
      <c r="BG124" s="281">
        <v>0</v>
      </c>
      <c r="BH124" s="281">
        <v>223000</v>
      </c>
      <c r="BI124" s="279"/>
      <c r="BJ124" s="279"/>
      <c r="BK124" s="279"/>
      <c r="BL124" s="279"/>
      <c r="BM124" s="279" t="s">
        <v>1548</v>
      </c>
      <c r="BN124" s="279"/>
      <c r="BO124" s="279"/>
      <c r="BP124" s="500">
        <f t="shared" si="147"/>
        <v>6.2E-2</v>
      </c>
      <c r="BQ124" s="973">
        <f t="shared" si="148"/>
        <v>5.5E-2</v>
      </c>
    </row>
    <row r="125" spans="1:69" s="460" customFormat="1" ht="15" customHeight="1">
      <c r="A125" s="281">
        <v>111</v>
      </c>
      <c r="B125" s="279">
        <v>466588403</v>
      </c>
      <c r="C125" s="279" t="s">
        <v>521</v>
      </c>
      <c r="D125" s="279" t="s">
        <v>473</v>
      </c>
      <c r="E125" s="279" t="s">
        <v>482</v>
      </c>
      <c r="F125" s="279" t="s">
        <v>474</v>
      </c>
      <c r="G125" s="279">
        <v>43720000</v>
      </c>
      <c r="H125" s="279">
        <v>1598</v>
      </c>
      <c r="I125" s="279">
        <v>0</v>
      </c>
      <c r="J125" s="279">
        <v>5</v>
      </c>
      <c r="K125" s="279" t="s">
        <v>495</v>
      </c>
      <c r="L125" s="279">
        <v>0</v>
      </c>
      <c r="M125" s="279" t="s">
        <v>111</v>
      </c>
      <c r="N125" s="279" t="s">
        <v>522</v>
      </c>
      <c r="O125" s="279" t="s">
        <v>1769</v>
      </c>
      <c r="P125" s="279" t="s">
        <v>562</v>
      </c>
      <c r="Q125" s="279" t="s">
        <v>1539</v>
      </c>
      <c r="R125" s="279"/>
      <c r="S125" s="279">
        <v>0</v>
      </c>
      <c r="T125" s="279">
        <v>18.100000000000001</v>
      </c>
      <c r="U125" s="279" t="s">
        <v>493</v>
      </c>
      <c r="V125" s="279" t="s">
        <v>493</v>
      </c>
      <c r="W125" s="279" t="s">
        <v>473</v>
      </c>
      <c r="X125" s="279" t="s">
        <v>478</v>
      </c>
      <c r="Y125" s="279"/>
      <c r="Z125" s="279"/>
      <c r="AA125" s="279"/>
      <c r="AB125" s="279" t="s">
        <v>20</v>
      </c>
      <c r="AC125" s="279" t="s">
        <v>480</v>
      </c>
      <c r="AD125" s="279" t="s">
        <v>491</v>
      </c>
      <c r="AE125" s="279">
        <v>88403</v>
      </c>
      <c r="AF125" s="279" t="s">
        <v>473</v>
      </c>
      <c r="AG125" s="279"/>
      <c r="AH125" s="279">
        <v>0</v>
      </c>
      <c r="AI125" s="279">
        <v>20240819</v>
      </c>
      <c r="AJ125" s="462" t="s">
        <v>1153</v>
      </c>
      <c r="AK125" s="279"/>
      <c r="AL125" s="279" t="str">
        <f>IF(AB125="Y","단종모델",LEFT(N125,3)&amp;IFERROR(VLOOKUP(LEFT(N125,3)&amp;P125,#REF!,2,0),""))</f>
        <v>KIA</v>
      </c>
      <c r="AM125" s="469" t="str">
        <f t="shared" si="212"/>
        <v xml:space="preserve">K8 가솔린 터보 1.6 하이브리드 </v>
      </c>
      <c r="AN125" s="279">
        <f t="shared" si="125"/>
        <v>43720000</v>
      </c>
      <c r="AO125" s="279">
        <f t="shared" si="126"/>
        <v>1598</v>
      </c>
      <c r="AP125" s="279" t="str">
        <f t="shared" si="127"/>
        <v>T</v>
      </c>
      <c r="AQ125" s="279">
        <f t="shared" si="128"/>
        <v>5</v>
      </c>
      <c r="AR125" s="279" t="str">
        <f t="shared" si="129"/>
        <v>승용</v>
      </c>
      <c r="AS125" s="279" t="str">
        <f t="shared" si="130"/>
        <v>승용</v>
      </c>
      <c r="AT125" s="279" t="str">
        <f t="shared" si="111"/>
        <v>2급</v>
      </c>
      <c r="AU125" s="279" t="str">
        <f t="shared" si="112"/>
        <v>06:화성</v>
      </c>
      <c r="AV125" s="279">
        <f t="shared" si="150"/>
        <v>1900</v>
      </c>
      <c r="AW125" s="279" t="str">
        <f t="shared" si="113"/>
        <v>D</v>
      </c>
      <c r="AX125" s="279" t="str">
        <f t="shared" si="114"/>
        <v>전략P</v>
      </c>
      <c r="AY125" s="975">
        <v>4.4999999999999998E-2</v>
      </c>
      <c r="AZ125" s="468"/>
      <c r="BA125" s="279" t="s">
        <v>1642</v>
      </c>
      <c r="BB125" s="279" t="s">
        <v>1643</v>
      </c>
      <c r="BC125" s="279"/>
      <c r="BD125" s="279" t="s">
        <v>1184</v>
      </c>
      <c r="BE125" s="279" t="str">
        <f t="shared" si="149"/>
        <v>기아</v>
      </c>
      <c r="BF125" s="581">
        <v>4.1000000000000002E-2</v>
      </c>
      <c r="BG125" s="281">
        <v>0</v>
      </c>
      <c r="BH125" s="281">
        <v>223000</v>
      </c>
      <c r="BI125" s="279"/>
      <c r="BJ125" s="279"/>
      <c r="BK125" s="279"/>
      <c r="BL125" s="279"/>
      <c r="BM125" s="279" t="s">
        <v>1548</v>
      </c>
      <c r="BN125" s="279"/>
      <c r="BO125" s="279"/>
      <c r="BP125" s="500">
        <f t="shared" si="147"/>
        <v>6.2E-2</v>
      </c>
      <c r="BQ125" s="973">
        <f t="shared" si="148"/>
        <v>5.5E-2</v>
      </c>
    </row>
    <row r="126" spans="1:69" s="460" customFormat="1" ht="15" customHeight="1">
      <c r="A126" s="281">
        <v>112</v>
      </c>
      <c r="B126" s="279">
        <v>466588407</v>
      </c>
      <c r="C126" s="279" t="s">
        <v>521</v>
      </c>
      <c r="D126" s="279" t="s">
        <v>473</v>
      </c>
      <c r="E126" s="279" t="s">
        <v>482</v>
      </c>
      <c r="F126" s="279" t="s">
        <v>474</v>
      </c>
      <c r="G126" s="279">
        <v>37820000</v>
      </c>
      <c r="H126" s="279">
        <v>3470</v>
      </c>
      <c r="I126" s="279">
        <v>0</v>
      </c>
      <c r="J126" s="279">
        <v>5</v>
      </c>
      <c r="K126" s="279" t="s">
        <v>508</v>
      </c>
      <c r="L126" s="279">
        <v>0</v>
      </c>
      <c r="M126" s="279" t="s">
        <v>111</v>
      </c>
      <c r="N126" s="279" t="s">
        <v>522</v>
      </c>
      <c r="O126" s="279" t="s">
        <v>1769</v>
      </c>
      <c r="P126" s="279" t="s">
        <v>562</v>
      </c>
      <c r="Q126" s="279" t="s">
        <v>1542</v>
      </c>
      <c r="R126" s="279"/>
      <c r="S126" s="279">
        <v>0</v>
      </c>
      <c r="T126" s="279">
        <v>8</v>
      </c>
      <c r="U126" s="279" t="s">
        <v>493</v>
      </c>
      <c r="V126" s="279" t="s">
        <v>493</v>
      </c>
      <c r="W126" s="279" t="s">
        <v>473</v>
      </c>
      <c r="X126" s="279" t="s">
        <v>484</v>
      </c>
      <c r="Y126" s="279"/>
      <c r="Z126" s="279"/>
      <c r="AA126" s="279"/>
      <c r="AB126" s="279" t="s">
        <v>20</v>
      </c>
      <c r="AC126" s="279" t="s">
        <v>518</v>
      </c>
      <c r="AD126" s="279" t="s">
        <v>491</v>
      </c>
      <c r="AE126" s="279">
        <v>88407</v>
      </c>
      <c r="AF126" s="279" t="s">
        <v>473</v>
      </c>
      <c r="AG126" s="279"/>
      <c r="AH126" s="279">
        <v>0</v>
      </c>
      <c r="AI126" s="279">
        <v>20240819</v>
      </c>
      <c r="AJ126" s="462" t="s">
        <v>1153</v>
      </c>
      <c r="AK126" s="279"/>
      <c r="AL126" s="279" t="str">
        <f>IF(AB126="Y","단종모델",LEFT(N126,3)&amp;IFERROR(VLOOKUP(LEFT(N126,3)&amp;P126,#REF!,2,0),""))</f>
        <v>KIA</v>
      </c>
      <c r="AM126" s="469" t="str">
        <f t="shared" si="212"/>
        <v xml:space="preserve">K8 LPG 3.5 (일반판매용) </v>
      </c>
      <c r="AN126" s="279">
        <f t="shared" si="125"/>
        <v>37820000</v>
      </c>
      <c r="AO126" s="279">
        <f t="shared" si="126"/>
        <v>3470</v>
      </c>
      <c r="AP126" s="279" t="str">
        <f t="shared" si="127"/>
        <v>L</v>
      </c>
      <c r="AQ126" s="279">
        <f t="shared" si="128"/>
        <v>5</v>
      </c>
      <c r="AR126" s="279" t="str">
        <f t="shared" si="129"/>
        <v>승용</v>
      </c>
      <c r="AS126" s="279" t="str">
        <f t="shared" si="130"/>
        <v>승용</v>
      </c>
      <c r="AT126" s="279" t="str">
        <f t="shared" si="111"/>
        <v>5급</v>
      </c>
      <c r="AU126" s="279" t="str">
        <f t="shared" si="112"/>
        <v>06:화성</v>
      </c>
      <c r="AV126" s="279">
        <f t="shared" si="150"/>
        <v>1900</v>
      </c>
      <c r="AW126" s="279" t="str">
        <f t="shared" si="113"/>
        <v>D</v>
      </c>
      <c r="AX126" s="279" t="str">
        <f t="shared" si="114"/>
        <v>전략P</v>
      </c>
      <c r="AY126" s="975">
        <v>4.4999999999999998E-2</v>
      </c>
      <c r="AZ126" s="468"/>
      <c r="BA126" s="279" t="s">
        <v>1651</v>
      </c>
      <c r="BB126" s="279" t="s">
        <v>1644</v>
      </c>
      <c r="BC126" s="279"/>
      <c r="BD126" s="279" t="s">
        <v>1184</v>
      </c>
      <c r="BE126" s="279" t="str">
        <f t="shared" si="149"/>
        <v>기아</v>
      </c>
      <c r="BF126" s="581">
        <v>4.1000000000000002E-2</v>
      </c>
      <c r="BG126" s="281">
        <v>0</v>
      </c>
      <c r="BH126" s="281">
        <v>223000</v>
      </c>
      <c r="BI126" s="279"/>
      <c r="BJ126" s="279"/>
      <c r="BK126" s="279"/>
      <c r="BL126" s="279"/>
      <c r="BM126" s="279" t="s">
        <v>1548</v>
      </c>
      <c r="BN126" s="279"/>
      <c r="BO126" s="279"/>
      <c r="BP126" s="500">
        <f t="shared" si="147"/>
        <v>6.2E-2</v>
      </c>
      <c r="BQ126" s="973">
        <f t="shared" si="148"/>
        <v>5.5E-2</v>
      </c>
    </row>
    <row r="127" spans="1:69" s="460" customFormat="1" ht="15" customHeight="1">
      <c r="A127" s="281">
        <v>113</v>
      </c>
      <c r="B127" s="279">
        <v>466588409</v>
      </c>
      <c r="C127" s="279" t="s">
        <v>521</v>
      </c>
      <c r="D127" s="279" t="s">
        <v>473</v>
      </c>
      <c r="E127" s="279" t="s">
        <v>482</v>
      </c>
      <c r="F127" s="279" t="s">
        <v>474</v>
      </c>
      <c r="G127" s="279">
        <v>35910000</v>
      </c>
      <c r="H127" s="279">
        <v>3470</v>
      </c>
      <c r="I127" s="279">
        <v>0</v>
      </c>
      <c r="J127" s="279">
        <v>5</v>
      </c>
      <c r="K127" s="279" t="s">
        <v>537</v>
      </c>
      <c r="L127" s="279">
        <v>0</v>
      </c>
      <c r="M127" s="279" t="s">
        <v>111</v>
      </c>
      <c r="N127" s="279" t="s">
        <v>522</v>
      </c>
      <c r="O127" s="279" t="s">
        <v>1769</v>
      </c>
      <c r="P127" s="279" t="s">
        <v>562</v>
      </c>
      <c r="Q127" s="279" t="s">
        <v>1768</v>
      </c>
      <c r="R127" s="279"/>
      <c r="S127" s="279">
        <v>0</v>
      </c>
      <c r="T127" s="279">
        <v>8</v>
      </c>
      <c r="U127" s="279" t="s">
        <v>493</v>
      </c>
      <c r="V127" s="279" t="s">
        <v>493</v>
      </c>
      <c r="W127" s="279" t="s">
        <v>473</v>
      </c>
      <c r="X127" s="279" t="s">
        <v>484</v>
      </c>
      <c r="Y127" s="279"/>
      <c r="Z127" s="279"/>
      <c r="AA127" s="279"/>
      <c r="AB127" s="279" t="s">
        <v>20</v>
      </c>
      <c r="AC127" s="279" t="s">
        <v>518</v>
      </c>
      <c r="AD127" s="279" t="s">
        <v>491</v>
      </c>
      <c r="AE127" s="279">
        <v>88409</v>
      </c>
      <c r="AF127" s="279" t="s">
        <v>473</v>
      </c>
      <c r="AG127" s="279"/>
      <c r="AH127" s="279">
        <v>0</v>
      </c>
      <c r="AI127" s="279">
        <v>20240819</v>
      </c>
      <c r="AJ127" s="462" t="s">
        <v>1153</v>
      </c>
      <c r="AK127" s="279"/>
      <c r="AL127" s="279" t="str">
        <f>IF(AB127="Y","단종모델",LEFT(N127,3)&amp;IFERROR(VLOOKUP(LEFT(N127,3)&amp;P127,#REF!,2,0),""))</f>
        <v>KIA</v>
      </c>
      <c r="AM127" s="469" t="str">
        <f t="shared" si="212"/>
        <v xml:space="preserve">K8 LPG 3.5 (렌터카) </v>
      </c>
      <c r="AN127" s="279">
        <f t="shared" si="125"/>
        <v>35910000</v>
      </c>
      <c r="AO127" s="279">
        <f t="shared" si="126"/>
        <v>3470</v>
      </c>
      <c r="AP127" s="279" t="str">
        <f t="shared" si="127"/>
        <v>R</v>
      </c>
      <c r="AQ127" s="279">
        <f t="shared" si="128"/>
        <v>5</v>
      </c>
      <c r="AR127" s="279" t="str">
        <f t="shared" si="129"/>
        <v>승용</v>
      </c>
      <c r="AS127" s="279" t="str">
        <f t="shared" si="130"/>
        <v>승용</v>
      </c>
      <c r="AT127" s="279" t="str">
        <f t="shared" si="111"/>
        <v>5급</v>
      </c>
      <c r="AU127" s="279" t="str">
        <f t="shared" si="112"/>
        <v>06:화성</v>
      </c>
      <c r="AV127" s="279">
        <f t="shared" si="150"/>
        <v>1900</v>
      </c>
      <c r="AW127" s="279" t="str">
        <f t="shared" si="113"/>
        <v>D</v>
      </c>
      <c r="AX127" s="279" t="str">
        <f t="shared" si="114"/>
        <v>전략P</v>
      </c>
      <c r="AY127" s="975">
        <v>4.4999999999999998E-2</v>
      </c>
      <c r="AZ127" s="468"/>
      <c r="BA127" s="279" t="s">
        <v>1651</v>
      </c>
      <c r="BB127" s="279" t="s">
        <v>1644</v>
      </c>
      <c r="BC127" s="279"/>
      <c r="BD127" s="279" t="s">
        <v>1184</v>
      </c>
      <c r="BE127" s="279" t="str">
        <f t="shared" si="149"/>
        <v>기아</v>
      </c>
      <c r="BF127" s="581">
        <v>4.1000000000000002E-2</v>
      </c>
      <c r="BG127" s="281">
        <v>0</v>
      </c>
      <c r="BH127" s="281">
        <v>223000</v>
      </c>
      <c r="BI127" s="279"/>
      <c r="BJ127" s="279"/>
      <c r="BK127" s="279"/>
      <c r="BL127" s="279"/>
      <c r="BM127" s="279" t="s">
        <v>1548</v>
      </c>
      <c r="BN127" s="279"/>
      <c r="BO127" s="279"/>
      <c r="BP127" s="500">
        <f t="shared" si="147"/>
        <v>6.2E-2</v>
      </c>
      <c r="BQ127" s="973">
        <f t="shared" si="148"/>
        <v>5.5E-2</v>
      </c>
    </row>
    <row r="128" spans="1:69" s="460" customFormat="1" ht="15" customHeight="1">
      <c r="A128" s="281">
        <v>114</v>
      </c>
      <c r="B128" s="279">
        <v>406674910</v>
      </c>
      <c r="C128" s="279" t="s">
        <v>521</v>
      </c>
      <c r="D128" s="279" t="s">
        <v>473</v>
      </c>
      <c r="E128" s="279" t="s">
        <v>482</v>
      </c>
      <c r="F128" s="279" t="s">
        <v>474</v>
      </c>
      <c r="G128" s="279">
        <v>58000000</v>
      </c>
      <c r="H128" s="279">
        <v>3778</v>
      </c>
      <c r="I128" s="279">
        <v>0</v>
      </c>
      <c r="J128" s="279">
        <v>5</v>
      </c>
      <c r="K128" s="279" t="s">
        <v>475</v>
      </c>
      <c r="L128" s="279">
        <v>0</v>
      </c>
      <c r="M128" s="279" t="s">
        <v>111</v>
      </c>
      <c r="N128" s="279" t="s">
        <v>522</v>
      </c>
      <c r="O128" s="279" t="s">
        <v>563</v>
      </c>
      <c r="P128" s="279" t="s">
        <v>115</v>
      </c>
      <c r="Q128" s="279" t="s">
        <v>1012</v>
      </c>
      <c r="R128" s="279"/>
      <c r="S128" s="279">
        <v>77</v>
      </c>
      <c r="T128" s="279">
        <v>9</v>
      </c>
      <c r="U128" s="279" t="s">
        <v>531</v>
      </c>
      <c r="V128" s="279" t="s">
        <v>531</v>
      </c>
      <c r="W128" s="279" t="s">
        <v>473</v>
      </c>
      <c r="X128" s="279" t="s">
        <v>484</v>
      </c>
      <c r="Y128" s="279"/>
      <c r="Z128" s="279"/>
      <c r="AA128" s="279"/>
      <c r="AB128" s="279" t="s">
        <v>19</v>
      </c>
      <c r="AC128" s="279" t="s">
        <v>518</v>
      </c>
      <c r="AD128" s="279" t="s">
        <v>491</v>
      </c>
      <c r="AE128" s="279">
        <v>74914</v>
      </c>
      <c r="AF128" s="279" t="s">
        <v>473</v>
      </c>
      <c r="AG128" s="279"/>
      <c r="AH128" s="279"/>
      <c r="AI128" s="279">
        <v>20230509</v>
      </c>
      <c r="AJ128" s="462" t="s">
        <v>1153</v>
      </c>
      <c r="AK128" s="279"/>
      <c r="AL128" s="279" t="str">
        <f>IF(AB128="Y","단종모델",LEFT(N128,3)&amp;IFERROR(VLOOKUP(LEFT(N128,3)&amp;P128,#REF!,2,0),""))</f>
        <v>KIA</v>
      </c>
      <c r="AM128" s="469" t="str">
        <f t="shared" si="212"/>
        <v xml:space="preserve">더 뉴 K9 가솔린 3.8 </v>
      </c>
      <c r="AN128" s="279">
        <f t="shared" si="125"/>
        <v>58000000</v>
      </c>
      <c r="AO128" s="279">
        <f t="shared" si="126"/>
        <v>3778</v>
      </c>
      <c r="AP128" s="279" t="str">
        <f t="shared" si="127"/>
        <v>M</v>
      </c>
      <c r="AQ128" s="279">
        <f t="shared" si="128"/>
        <v>5</v>
      </c>
      <c r="AR128" s="279" t="str">
        <f t="shared" si="129"/>
        <v>승용</v>
      </c>
      <c r="AS128" s="279" t="str">
        <f t="shared" si="130"/>
        <v>승용</v>
      </c>
      <c r="AT128" s="279" t="str">
        <f t="shared" si="111"/>
        <v>5급</v>
      </c>
      <c r="AU128" s="279" t="str">
        <f t="shared" si="112"/>
        <v>05:소하리</v>
      </c>
      <c r="AV128" s="279">
        <f t="shared" si="150"/>
        <v>1900</v>
      </c>
      <c r="AW128" s="279" t="str">
        <f t="shared" si="113"/>
        <v>D</v>
      </c>
      <c r="AX128" s="279" t="str">
        <f t="shared" si="114"/>
        <v>전략P</v>
      </c>
      <c r="AY128" s="468">
        <v>2.5000000000000001E-2</v>
      </c>
      <c r="AZ128" s="468"/>
      <c r="BA128" s="279" t="s">
        <v>1694</v>
      </c>
      <c r="BB128" s="279" t="s">
        <v>1645</v>
      </c>
      <c r="BC128" s="279"/>
      <c r="BD128" s="279" t="s">
        <v>1184</v>
      </c>
      <c r="BE128" s="279" t="str">
        <f t="shared" si="149"/>
        <v>기아</v>
      </c>
      <c r="BF128" s="581">
        <v>4.1000000000000002E-2</v>
      </c>
      <c r="BG128" s="281">
        <v>0</v>
      </c>
      <c r="BH128" s="281">
        <v>0</v>
      </c>
      <c r="BI128" s="279"/>
      <c r="BJ128" s="279"/>
      <c r="BK128" s="279"/>
      <c r="BL128" s="279"/>
      <c r="BM128" s="279" t="s">
        <v>1548</v>
      </c>
      <c r="BN128" s="279"/>
      <c r="BO128" s="279"/>
      <c r="BP128" s="500">
        <f t="shared" si="147"/>
        <v>6.2E-2</v>
      </c>
      <c r="BQ128" s="973">
        <f t="shared" si="148"/>
        <v>5.5E-2</v>
      </c>
    </row>
    <row r="129" spans="1:69" s="460" customFormat="1" ht="15" customHeight="1">
      <c r="A129" s="281">
        <v>115</v>
      </c>
      <c r="B129" s="279">
        <v>406674915</v>
      </c>
      <c r="C129" s="279" t="s">
        <v>521</v>
      </c>
      <c r="D129" s="279" t="s">
        <v>473</v>
      </c>
      <c r="E129" s="279" t="s">
        <v>482</v>
      </c>
      <c r="F129" s="279" t="s">
        <v>474</v>
      </c>
      <c r="G129" s="279">
        <v>64600000</v>
      </c>
      <c r="H129" s="279">
        <v>3342</v>
      </c>
      <c r="I129" s="279">
        <v>0</v>
      </c>
      <c r="J129" s="279">
        <v>5</v>
      </c>
      <c r="K129" s="279" t="s">
        <v>475</v>
      </c>
      <c r="L129" s="279">
        <v>0</v>
      </c>
      <c r="M129" s="279" t="s">
        <v>111</v>
      </c>
      <c r="N129" s="279" t="s">
        <v>522</v>
      </c>
      <c r="O129" s="279" t="s">
        <v>563</v>
      </c>
      <c r="P129" s="279" t="s">
        <v>115</v>
      </c>
      <c r="Q129" s="279" t="s">
        <v>1013</v>
      </c>
      <c r="R129" s="279"/>
      <c r="S129" s="279">
        <v>77</v>
      </c>
      <c r="T129" s="279">
        <v>8.6999999999999993</v>
      </c>
      <c r="U129" s="279" t="s">
        <v>513</v>
      </c>
      <c r="V129" s="279" t="s">
        <v>524</v>
      </c>
      <c r="W129" s="279" t="s">
        <v>473</v>
      </c>
      <c r="X129" s="279" t="s">
        <v>484</v>
      </c>
      <c r="Y129" s="279"/>
      <c r="Z129" s="279"/>
      <c r="AA129" s="279"/>
      <c r="AB129" s="279" t="s">
        <v>19</v>
      </c>
      <c r="AC129" s="279" t="s">
        <v>487</v>
      </c>
      <c r="AD129" s="279" t="s">
        <v>491</v>
      </c>
      <c r="AE129" s="279">
        <v>74915</v>
      </c>
      <c r="AF129" s="279" t="s">
        <v>473</v>
      </c>
      <c r="AG129" s="279"/>
      <c r="AH129" s="279"/>
      <c r="AI129" s="279">
        <v>20230509</v>
      </c>
      <c r="AJ129" s="462" t="s">
        <v>1153</v>
      </c>
      <c r="AK129" s="279"/>
      <c r="AL129" s="279" t="str">
        <f>IF(AB129="Y","단종모델",LEFT(N129,3)&amp;IFERROR(VLOOKUP(LEFT(N129,3)&amp;P129,#REF!,2,0),""))</f>
        <v>KIA</v>
      </c>
      <c r="AM129" s="469" t="str">
        <f t="shared" si="212"/>
        <v xml:space="preserve">더 뉴 K9 가솔린 3.3 터보 </v>
      </c>
      <c r="AN129" s="279">
        <f t="shared" si="125"/>
        <v>64600000</v>
      </c>
      <c r="AO129" s="279">
        <f t="shared" si="126"/>
        <v>3342</v>
      </c>
      <c r="AP129" s="279" t="str">
        <f t="shared" si="127"/>
        <v>M</v>
      </c>
      <c r="AQ129" s="279">
        <f t="shared" si="128"/>
        <v>5</v>
      </c>
      <c r="AR129" s="279" t="str">
        <f t="shared" si="129"/>
        <v>승용</v>
      </c>
      <c r="AS129" s="279" t="str">
        <f t="shared" si="130"/>
        <v>승용</v>
      </c>
      <c r="AT129" s="279" t="str">
        <f t="shared" ref="AT129:AT168" si="213">RIGHT(AC129,2)</f>
        <v>4급</v>
      </c>
      <c r="AU129" s="279" t="str">
        <f t="shared" ref="AU129:AU168" si="214">AB129</f>
        <v>05:소하리</v>
      </c>
      <c r="AV129" s="279">
        <f t="shared" si="150"/>
        <v>1900</v>
      </c>
      <c r="AW129" s="279" t="str">
        <f t="shared" ref="AW129:AW168" si="215">LEFT(F129,1)</f>
        <v>D</v>
      </c>
      <c r="AX129" s="279" t="str">
        <f t="shared" si="114"/>
        <v>전략P</v>
      </c>
      <c r="AY129" s="468">
        <v>2.5000000000000001E-2</v>
      </c>
      <c r="AZ129" s="468"/>
      <c r="BA129" s="279" t="s">
        <v>1645</v>
      </c>
      <c r="BB129" s="279" t="s">
        <v>1646</v>
      </c>
      <c r="BC129" s="279"/>
      <c r="BD129" s="279" t="s">
        <v>1184</v>
      </c>
      <c r="BE129" s="279" t="str">
        <f t="shared" si="149"/>
        <v>기아</v>
      </c>
      <c r="BF129" s="581">
        <v>4.1000000000000002E-2</v>
      </c>
      <c r="BG129" s="281">
        <v>0</v>
      </c>
      <c r="BH129" s="281">
        <v>0</v>
      </c>
      <c r="BI129" s="279"/>
      <c r="BJ129" s="279"/>
      <c r="BK129" s="279"/>
      <c r="BL129" s="279"/>
      <c r="BM129" s="279" t="s">
        <v>1548</v>
      </c>
      <c r="BN129" s="279"/>
      <c r="BO129" s="279"/>
      <c r="BP129" s="500">
        <f t="shared" si="147"/>
        <v>6.2E-2</v>
      </c>
      <c r="BQ129" s="973">
        <f t="shared" si="148"/>
        <v>5.5E-2</v>
      </c>
    </row>
    <row r="130" spans="1:69" s="460" customFormat="1" ht="15" customHeight="1">
      <c r="A130" s="281">
        <v>116</v>
      </c>
      <c r="B130" s="279">
        <v>413088427</v>
      </c>
      <c r="C130" s="279" t="s">
        <v>521</v>
      </c>
      <c r="D130" s="279" t="s">
        <v>528</v>
      </c>
      <c r="E130" s="279" t="s">
        <v>482</v>
      </c>
      <c r="F130" s="279" t="s">
        <v>474</v>
      </c>
      <c r="G130" s="279">
        <v>29000000</v>
      </c>
      <c r="H130" s="279">
        <v>1580</v>
      </c>
      <c r="I130" s="279">
        <v>0</v>
      </c>
      <c r="J130" s="279">
        <v>5</v>
      </c>
      <c r="K130" s="279" t="s">
        <v>495</v>
      </c>
      <c r="L130" s="279">
        <v>0</v>
      </c>
      <c r="M130" s="279" t="s">
        <v>111</v>
      </c>
      <c r="N130" s="279" t="s">
        <v>522</v>
      </c>
      <c r="O130" s="279" t="s">
        <v>123</v>
      </c>
      <c r="P130" s="279" t="s">
        <v>122</v>
      </c>
      <c r="Q130" s="279" t="s">
        <v>1765</v>
      </c>
      <c r="R130" s="279"/>
      <c r="S130" s="279">
        <v>42</v>
      </c>
      <c r="T130" s="279">
        <v>20.8</v>
      </c>
      <c r="U130" s="279" t="s">
        <v>489</v>
      </c>
      <c r="V130" s="279" t="s">
        <v>489</v>
      </c>
      <c r="W130" s="279" t="s">
        <v>473</v>
      </c>
      <c r="X130" s="279" t="s">
        <v>478</v>
      </c>
      <c r="Y130" s="279"/>
      <c r="Z130" s="279"/>
      <c r="AA130" s="279"/>
      <c r="AB130" s="279" t="s">
        <v>20</v>
      </c>
      <c r="AC130" s="279" t="s">
        <v>490</v>
      </c>
      <c r="AD130" s="279" t="s">
        <v>491</v>
      </c>
      <c r="AE130" s="279">
        <v>88427</v>
      </c>
      <c r="AF130" s="279" t="s">
        <v>473</v>
      </c>
      <c r="AG130" s="279"/>
      <c r="AH130" s="279">
        <v>0</v>
      </c>
      <c r="AI130" s="279">
        <v>20240819</v>
      </c>
      <c r="AJ130" s="462" t="s">
        <v>1151</v>
      </c>
      <c r="AK130" s="279"/>
      <c r="AL130" s="279" t="str">
        <f>IF(AB130="Y","단종모델",LEFT(N130,3)&amp;IFERROR(VLOOKUP(LEFT(N130,3)&amp;P130,#REF!,2,0),""))</f>
        <v>KIA</v>
      </c>
      <c r="AM130" s="469" t="str">
        <f t="shared" si="212"/>
        <v xml:space="preserve">니로 가솔린 1.6 하이브리드 </v>
      </c>
      <c r="AN130" s="279">
        <f t="shared" si="125"/>
        <v>29000000</v>
      </c>
      <c r="AO130" s="279">
        <f t="shared" si="126"/>
        <v>1580</v>
      </c>
      <c r="AP130" s="279" t="str">
        <f t="shared" si="127"/>
        <v>T</v>
      </c>
      <c r="AQ130" s="279">
        <f t="shared" si="128"/>
        <v>5</v>
      </c>
      <c r="AR130" s="279" t="str">
        <f t="shared" si="129"/>
        <v>RV</v>
      </c>
      <c r="AS130" s="279" t="str">
        <f t="shared" si="130"/>
        <v>승용</v>
      </c>
      <c r="AT130" s="279" t="str">
        <f t="shared" si="213"/>
        <v>7급</v>
      </c>
      <c r="AU130" s="279" t="str">
        <f t="shared" si="214"/>
        <v>06:화성</v>
      </c>
      <c r="AV130" s="279">
        <f t="shared" si="150"/>
        <v>1900</v>
      </c>
      <c r="AW130" s="279" t="str">
        <f t="shared" si="215"/>
        <v>D</v>
      </c>
      <c r="AX130" s="279" t="str">
        <f t="shared" ref="AX130:AX170" si="216">AJ130</f>
        <v>전략</v>
      </c>
      <c r="AY130" s="468">
        <v>0.03</v>
      </c>
      <c r="AZ130" s="468"/>
      <c r="BA130" s="279" t="s">
        <v>1688</v>
      </c>
      <c r="BB130" s="279" t="s">
        <v>1549</v>
      </c>
      <c r="BC130" s="279"/>
      <c r="BD130" s="279" t="s">
        <v>1474</v>
      </c>
      <c r="BE130" s="279" t="str">
        <f t="shared" si="149"/>
        <v>기아</v>
      </c>
      <c r="BF130" s="581">
        <v>4.1000000000000002E-2</v>
      </c>
      <c r="BG130" s="281">
        <v>0</v>
      </c>
      <c r="BH130" s="281">
        <v>0</v>
      </c>
      <c r="BI130" s="279"/>
      <c r="BJ130" s="279"/>
      <c r="BK130" s="279"/>
      <c r="BL130" s="279"/>
      <c r="BM130" s="279" t="s">
        <v>1548</v>
      </c>
      <c r="BN130" s="279"/>
      <c r="BO130" s="279"/>
      <c r="BP130" s="500">
        <f t="shared" si="147"/>
        <v>6.8000000000000005E-2</v>
      </c>
      <c r="BQ130" s="973">
        <f t="shared" si="148"/>
        <v>6.1000000000000006E-2</v>
      </c>
    </row>
    <row r="131" spans="1:69" s="460" customFormat="1" ht="15" customHeight="1">
      <c r="A131" s="281">
        <v>117</v>
      </c>
      <c r="B131" s="279">
        <v>458686875</v>
      </c>
      <c r="C131" s="279" t="s">
        <v>521</v>
      </c>
      <c r="D131" s="279" t="s">
        <v>528</v>
      </c>
      <c r="E131" s="279" t="s">
        <v>482</v>
      </c>
      <c r="F131" s="279" t="s">
        <v>474</v>
      </c>
      <c r="G131" s="279">
        <v>46190000</v>
      </c>
      <c r="H131" s="279">
        <v>1598</v>
      </c>
      <c r="I131" s="279">
        <v>0</v>
      </c>
      <c r="J131" s="279">
        <v>7</v>
      </c>
      <c r="K131" s="279" t="s">
        <v>475</v>
      </c>
      <c r="L131" s="279">
        <v>0</v>
      </c>
      <c r="M131" s="279" t="s">
        <v>111</v>
      </c>
      <c r="N131" s="279" t="s">
        <v>522</v>
      </c>
      <c r="O131" s="279" t="s">
        <v>1237</v>
      </c>
      <c r="P131" s="279" t="s">
        <v>532</v>
      </c>
      <c r="Q131" s="279" t="s">
        <v>1225</v>
      </c>
      <c r="R131" s="279" t="s">
        <v>1223</v>
      </c>
      <c r="S131" s="279">
        <v>72</v>
      </c>
      <c r="T131" s="279">
        <v>0</v>
      </c>
      <c r="U131" s="279" t="s">
        <v>504</v>
      </c>
      <c r="V131" s="279" t="s">
        <v>504</v>
      </c>
      <c r="W131" s="279" t="s">
        <v>507</v>
      </c>
      <c r="X131" s="279" t="s">
        <v>478</v>
      </c>
      <c r="Y131" s="279"/>
      <c r="Z131" s="279"/>
      <c r="AA131" s="279"/>
      <c r="AB131" s="279" t="s">
        <v>19</v>
      </c>
      <c r="AC131" s="279" t="s">
        <v>490</v>
      </c>
      <c r="AD131" s="279" t="s">
        <v>491</v>
      </c>
      <c r="AE131" s="279">
        <v>86875</v>
      </c>
      <c r="AF131" s="279" t="s">
        <v>507</v>
      </c>
      <c r="AG131" s="279"/>
      <c r="AH131" s="279"/>
      <c r="AI131" s="279">
        <v>20231108</v>
      </c>
      <c r="AJ131" s="462" t="s">
        <v>937</v>
      </c>
      <c r="AK131" s="279"/>
      <c r="AL131" s="279" t="str">
        <f>IF(AB131="Y","단종모델",LEFT(N131,3)&amp;IFERROR(VLOOKUP(LEFT(N131,3)&amp;P131,#REF!,2,0),""))</f>
        <v>KIA</v>
      </c>
      <c r="AM131" s="469" t="str">
        <f t="shared" si="212"/>
        <v>더 뉴 카니발 가솔린 터보 1.6 하이브리드 7인승</v>
      </c>
      <c r="AN131" s="279">
        <f t="shared" si="125"/>
        <v>46190000</v>
      </c>
      <c r="AO131" s="279">
        <f t="shared" si="126"/>
        <v>1598</v>
      </c>
      <c r="AP131" s="279" t="str">
        <f t="shared" si="127"/>
        <v>M</v>
      </c>
      <c r="AQ131" s="279">
        <f t="shared" si="128"/>
        <v>7</v>
      </c>
      <c r="AR131" s="279" t="str">
        <f t="shared" si="129"/>
        <v>RV</v>
      </c>
      <c r="AS131" s="279" t="str">
        <f t="shared" si="130"/>
        <v>다인승</v>
      </c>
      <c r="AT131" s="279" t="str">
        <f t="shared" si="213"/>
        <v>7급</v>
      </c>
      <c r="AU131" s="279" t="str">
        <f t="shared" si="214"/>
        <v>05:소하리</v>
      </c>
      <c r="AV131" s="279">
        <f t="shared" si="150"/>
        <v>2500</v>
      </c>
      <c r="AW131" s="279" t="str">
        <f t="shared" si="215"/>
        <v>D</v>
      </c>
      <c r="AX131" s="279" t="str">
        <f t="shared" si="216"/>
        <v>전략P</v>
      </c>
      <c r="AY131" s="468">
        <v>0.02</v>
      </c>
      <c r="AZ131" s="468"/>
      <c r="BA131" s="279" t="s">
        <v>1748</v>
      </c>
      <c r="BB131" s="279" t="s">
        <v>1563</v>
      </c>
      <c r="BC131" s="279"/>
      <c r="BD131" s="279" t="s">
        <v>1222</v>
      </c>
      <c r="BE131" s="279" t="str">
        <f t="shared" si="149"/>
        <v>기아</v>
      </c>
      <c r="BF131" s="581">
        <v>4.1000000000000002E-2</v>
      </c>
      <c r="BG131" s="281">
        <v>0</v>
      </c>
      <c r="BH131" s="281">
        <v>433000</v>
      </c>
      <c r="BI131" s="279"/>
      <c r="BJ131" s="279"/>
      <c r="BK131" s="279"/>
      <c r="BL131" s="279"/>
      <c r="BM131" s="279" t="s">
        <v>1548</v>
      </c>
      <c r="BN131" s="279"/>
      <c r="BO131" s="279"/>
      <c r="BP131" s="500">
        <f t="shared" si="147"/>
        <v>6.2E-2</v>
      </c>
      <c r="BQ131" s="973">
        <f t="shared" si="148"/>
        <v>5.5E-2</v>
      </c>
    </row>
    <row r="132" spans="1:69" s="460" customFormat="1" ht="15" customHeight="1">
      <c r="A132" s="281">
        <v>118</v>
      </c>
      <c r="B132" s="279">
        <v>458686880</v>
      </c>
      <c r="C132" s="279" t="s">
        <v>521</v>
      </c>
      <c r="D132" s="279" t="s">
        <v>528</v>
      </c>
      <c r="E132" s="279" t="s">
        <v>482</v>
      </c>
      <c r="F132" s="279" t="s">
        <v>474</v>
      </c>
      <c r="G132" s="279">
        <v>43650000</v>
      </c>
      <c r="H132" s="279">
        <v>1598</v>
      </c>
      <c r="I132" s="279">
        <v>0</v>
      </c>
      <c r="J132" s="279">
        <v>9</v>
      </c>
      <c r="K132" s="279" t="s">
        <v>475</v>
      </c>
      <c r="L132" s="279">
        <v>0</v>
      </c>
      <c r="M132" s="279" t="s">
        <v>111</v>
      </c>
      <c r="N132" s="279" t="s">
        <v>522</v>
      </c>
      <c r="O132" s="279" t="s">
        <v>1237</v>
      </c>
      <c r="P132" s="279" t="s">
        <v>532</v>
      </c>
      <c r="Q132" s="279" t="s">
        <v>1225</v>
      </c>
      <c r="R132" s="279" t="s">
        <v>1224</v>
      </c>
      <c r="S132" s="279">
        <v>72</v>
      </c>
      <c r="T132" s="279">
        <v>0</v>
      </c>
      <c r="U132" s="279" t="s">
        <v>506</v>
      </c>
      <c r="V132" s="279" t="s">
        <v>506</v>
      </c>
      <c r="W132" s="279" t="s">
        <v>554</v>
      </c>
      <c r="X132" s="279" t="s">
        <v>478</v>
      </c>
      <c r="Y132" s="279"/>
      <c r="Z132" s="279"/>
      <c r="AA132" s="279"/>
      <c r="AB132" s="279" t="s">
        <v>19</v>
      </c>
      <c r="AC132" s="279" t="s">
        <v>490</v>
      </c>
      <c r="AD132" s="279" t="s">
        <v>491</v>
      </c>
      <c r="AE132" s="279">
        <v>86880</v>
      </c>
      <c r="AF132" s="279" t="s">
        <v>507</v>
      </c>
      <c r="AG132" s="279"/>
      <c r="AH132" s="279"/>
      <c r="AI132" s="279">
        <v>20231108</v>
      </c>
      <c r="AJ132" s="462" t="s">
        <v>937</v>
      </c>
      <c r="AK132" s="279"/>
      <c r="AL132" s="279" t="str">
        <f>IF(AB132="Y","단종모델",LEFT(N132,3)&amp;IFERROR(VLOOKUP(LEFT(N132,3)&amp;P132,#REF!,2,0),""))</f>
        <v>KIA</v>
      </c>
      <c r="AM132" s="469" t="str">
        <f t="shared" si="212"/>
        <v>더 뉴 카니발 가솔린 터보 1.6 하이브리드 9인승</v>
      </c>
      <c r="AN132" s="279">
        <f t="shared" si="125"/>
        <v>43650000</v>
      </c>
      <c r="AO132" s="279">
        <f t="shared" si="126"/>
        <v>1598</v>
      </c>
      <c r="AP132" s="279" t="str">
        <f t="shared" si="127"/>
        <v>M</v>
      </c>
      <c r="AQ132" s="279">
        <f t="shared" si="128"/>
        <v>9</v>
      </c>
      <c r="AR132" s="279" t="str">
        <f t="shared" si="129"/>
        <v>RV</v>
      </c>
      <c r="AS132" s="279" t="str">
        <f t="shared" si="130"/>
        <v>다인승</v>
      </c>
      <c r="AT132" s="279" t="str">
        <f t="shared" si="213"/>
        <v>7급</v>
      </c>
      <c r="AU132" s="279" t="str">
        <f t="shared" si="214"/>
        <v>05:소하리</v>
      </c>
      <c r="AV132" s="279">
        <f t="shared" si="150"/>
        <v>2500</v>
      </c>
      <c r="AW132" s="279" t="str">
        <f t="shared" si="215"/>
        <v>D</v>
      </c>
      <c r="AX132" s="279" t="str">
        <f t="shared" si="216"/>
        <v>전략P</v>
      </c>
      <c r="AY132" s="468">
        <v>0.02</v>
      </c>
      <c r="AZ132" s="468"/>
      <c r="BA132" s="279" t="s">
        <v>1748</v>
      </c>
      <c r="BB132" s="279" t="s">
        <v>1563</v>
      </c>
      <c r="BC132" s="279"/>
      <c r="BD132" s="279" t="s">
        <v>1222</v>
      </c>
      <c r="BE132" s="279" t="str">
        <f t="shared" si="149"/>
        <v>기아</v>
      </c>
      <c r="BF132" s="581">
        <v>4.1000000000000002E-2</v>
      </c>
      <c r="BG132" s="281">
        <v>0</v>
      </c>
      <c r="BH132" s="281">
        <v>433000</v>
      </c>
      <c r="BI132" s="279"/>
      <c r="BJ132" s="279"/>
      <c r="BK132" s="279"/>
      <c r="BL132" s="279"/>
      <c r="BM132" s="279" t="s">
        <v>1548</v>
      </c>
      <c r="BN132" s="279"/>
      <c r="BO132" s="279"/>
      <c r="BP132" s="500">
        <f t="shared" si="147"/>
        <v>6.2E-2</v>
      </c>
      <c r="BQ132" s="973">
        <f t="shared" si="148"/>
        <v>5.5E-2</v>
      </c>
    </row>
    <row r="133" spans="1:69" s="460" customFormat="1" ht="15" customHeight="1">
      <c r="A133" s="281">
        <v>119</v>
      </c>
      <c r="B133" s="279">
        <v>458686861</v>
      </c>
      <c r="C133" s="279" t="s">
        <v>521</v>
      </c>
      <c r="D133" s="279" t="s">
        <v>528</v>
      </c>
      <c r="E133" s="279" t="s">
        <v>482</v>
      </c>
      <c r="F133" s="279" t="s">
        <v>474</v>
      </c>
      <c r="G133" s="279">
        <v>41690000</v>
      </c>
      <c r="H133" s="279">
        <v>3470</v>
      </c>
      <c r="I133" s="279">
        <v>0</v>
      </c>
      <c r="J133" s="279">
        <v>7</v>
      </c>
      <c r="K133" s="279" t="s">
        <v>475</v>
      </c>
      <c r="L133" s="279">
        <v>0</v>
      </c>
      <c r="M133" s="279" t="s">
        <v>111</v>
      </c>
      <c r="N133" s="279" t="s">
        <v>522</v>
      </c>
      <c r="O133" s="279" t="s">
        <v>1237</v>
      </c>
      <c r="P133" s="279" t="s">
        <v>532</v>
      </c>
      <c r="Q133" s="277" t="s">
        <v>1236</v>
      </c>
      <c r="R133" s="279" t="s">
        <v>1014</v>
      </c>
      <c r="S133" s="279">
        <v>72</v>
      </c>
      <c r="T133" s="279">
        <v>9</v>
      </c>
      <c r="U133" s="279" t="s">
        <v>504</v>
      </c>
      <c r="V133" s="279" t="s">
        <v>504</v>
      </c>
      <c r="W133" s="279" t="s">
        <v>507</v>
      </c>
      <c r="X133" s="279" t="s">
        <v>484</v>
      </c>
      <c r="Y133" s="279"/>
      <c r="Z133" s="279"/>
      <c r="AA133" s="279"/>
      <c r="AB133" s="279" t="s">
        <v>19</v>
      </c>
      <c r="AC133" s="279" t="s">
        <v>490</v>
      </c>
      <c r="AD133" s="279" t="s">
        <v>491</v>
      </c>
      <c r="AE133" s="279">
        <v>86861</v>
      </c>
      <c r="AF133" s="279" t="s">
        <v>507</v>
      </c>
      <c r="AG133" s="279"/>
      <c r="AH133" s="279"/>
      <c r="AI133" s="279">
        <v>20231108</v>
      </c>
      <c r="AJ133" s="462" t="s">
        <v>1153</v>
      </c>
      <c r="AK133" s="279"/>
      <c r="AL133" s="279" t="str">
        <f>IF(AB133="Y","단종모델",LEFT(N133,3)&amp;IFERROR(VLOOKUP(LEFT(N133,3)&amp;P133,#REF!,2,0),""))</f>
        <v>KIA</v>
      </c>
      <c r="AM133" s="469" t="str">
        <f>O133&amp;" "&amp;Q133&amp;" "&amp;R133</f>
        <v>더 뉴 카니발 가솔린 3.5 7인승</v>
      </c>
      <c r="AN133" s="279">
        <f>G133</f>
        <v>41690000</v>
      </c>
      <c r="AO133" s="279">
        <f>H133</f>
        <v>3470</v>
      </c>
      <c r="AP133" s="279" t="str">
        <f>LEFT(K133,1)</f>
        <v>M</v>
      </c>
      <c r="AQ133" s="279">
        <f>J133</f>
        <v>7</v>
      </c>
      <c r="AR133" s="279" t="str">
        <f>RIGHT(D133,2)</f>
        <v>RV</v>
      </c>
      <c r="AS133" s="279" t="str">
        <f>MID(W133,4,3)</f>
        <v>다인승</v>
      </c>
      <c r="AT133" s="279" t="str">
        <f>RIGHT(AC133,2)</f>
        <v>7급</v>
      </c>
      <c r="AU133" s="279" t="str">
        <f>AB133</f>
        <v>05:소하리</v>
      </c>
      <c r="AV133" s="279">
        <f t="shared" si="150"/>
        <v>2500</v>
      </c>
      <c r="AW133" s="279" t="str">
        <f>LEFT(F133,1)</f>
        <v>D</v>
      </c>
      <c r="AX133" s="279" t="str">
        <f>AJ133</f>
        <v>전략P</v>
      </c>
      <c r="AY133" s="468">
        <v>0.03</v>
      </c>
      <c r="AZ133" s="468"/>
      <c r="BA133" s="279" t="s">
        <v>1687</v>
      </c>
      <c r="BB133" s="279" t="s">
        <v>1549</v>
      </c>
      <c r="BC133" s="279"/>
      <c r="BD133" s="279" t="s">
        <v>1184</v>
      </c>
      <c r="BE133" s="279" t="str">
        <f t="shared" si="149"/>
        <v>기아</v>
      </c>
      <c r="BF133" s="581">
        <v>4.1000000000000002E-2</v>
      </c>
      <c r="BG133" s="281">
        <v>0</v>
      </c>
      <c r="BH133" s="281">
        <v>433000</v>
      </c>
      <c r="BI133" s="279"/>
      <c r="BJ133" s="279"/>
      <c r="BK133" s="279"/>
      <c r="BL133" s="279"/>
      <c r="BM133" s="279" t="s">
        <v>1548</v>
      </c>
      <c r="BN133" s="279"/>
      <c r="BO133" s="279"/>
      <c r="BP133" s="500">
        <f t="shared" si="147"/>
        <v>6.2E-2</v>
      </c>
      <c r="BQ133" s="973">
        <f>BP133-0.007</f>
        <v>5.5E-2</v>
      </c>
    </row>
    <row r="134" spans="1:69" s="460" customFormat="1" ht="15" customHeight="1">
      <c r="A134" s="281">
        <v>120</v>
      </c>
      <c r="B134" s="279">
        <v>458686858</v>
      </c>
      <c r="C134" s="279" t="s">
        <v>521</v>
      </c>
      <c r="D134" s="279" t="s">
        <v>528</v>
      </c>
      <c r="E134" s="279" t="s">
        <v>482</v>
      </c>
      <c r="F134" s="279" t="s">
        <v>474</v>
      </c>
      <c r="G134" s="279">
        <v>39100000</v>
      </c>
      <c r="H134" s="279">
        <v>3470</v>
      </c>
      <c r="I134" s="279">
        <v>0</v>
      </c>
      <c r="J134" s="279">
        <v>9</v>
      </c>
      <c r="K134" s="279" t="s">
        <v>475</v>
      </c>
      <c r="L134" s="279">
        <v>0</v>
      </c>
      <c r="M134" s="279" t="s">
        <v>111</v>
      </c>
      <c r="N134" s="279" t="s">
        <v>522</v>
      </c>
      <c r="O134" s="279" t="s">
        <v>1237</v>
      </c>
      <c r="P134" s="279" t="s">
        <v>532</v>
      </c>
      <c r="Q134" s="277" t="s">
        <v>1226</v>
      </c>
      <c r="R134" s="279" t="s">
        <v>1224</v>
      </c>
      <c r="S134" s="279">
        <v>72</v>
      </c>
      <c r="T134" s="279">
        <v>9</v>
      </c>
      <c r="U134" s="279" t="s">
        <v>506</v>
      </c>
      <c r="V134" s="279" t="s">
        <v>506</v>
      </c>
      <c r="W134" s="279" t="s">
        <v>554</v>
      </c>
      <c r="X134" s="279" t="s">
        <v>484</v>
      </c>
      <c r="Y134" s="279"/>
      <c r="Z134" s="279"/>
      <c r="AA134" s="279"/>
      <c r="AB134" s="279" t="s">
        <v>19</v>
      </c>
      <c r="AC134" s="279" t="s">
        <v>490</v>
      </c>
      <c r="AD134" s="279" t="s">
        <v>491</v>
      </c>
      <c r="AE134" s="279">
        <v>86858</v>
      </c>
      <c r="AF134" s="279" t="s">
        <v>507</v>
      </c>
      <c r="AG134" s="279"/>
      <c r="AH134" s="279"/>
      <c r="AI134" s="279">
        <v>20231108</v>
      </c>
      <c r="AJ134" s="462" t="s">
        <v>1153</v>
      </c>
      <c r="AK134" s="279"/>
      <c r="AL134" s="279" t="str">
        <f>IF(AB134="Y","단종모델",LEFT(N134,3)&amp;IFERROR(VLOOKUP(LEFT(N134,3)&amp;P134,#REF!,2,0),""))</f>
        <v>KIA</v>
      </c>
      <c r="AM134" s="469" t="str">
        <f t="shared" si="212"/>
        <v>더 뉴 카니발 가솔린 3.5 9인승</v>
      </c>
      <c r="AN134" s="279">
        <f t="shared" si="125"/>
        <v>39100000</v>
      </c>
      <c r="AO134" s="279">
        <f t="shared" si="126"/>
        <v>3470</v>
      </c>
      <c r="AP134" s="279" t="str">
        <f t="shared" si="127"/>
        <v>M</v>
      </c>
      <c r="AQ134" s="279">
        <f t="shared" si="128"/>
        <v>9</v>
      </c>
      <c r="AR134" s="279" t="str">
        <f t="shared" si="129"/>
        <v>RV</v>
      </c>
      <c r="AS134" s="279" t="str">
        <f t="shared" si="130"/>
        <v>다인승</v>
      </c>
      <c r="AT134" s="279" t="str">
        <f t="shared" si="213"/>
        <v>7급</v>
      </c>
      <c r="AU134" s="279" t="str">
        <f t="shared" si="214"/>
        <v>05:소하리</v>
      </c>
      <c r="AV134" s="279">
        <f t="shared" si="150"/>
        <v>2500</v>
      </c>
      <c r="AW134" s="279" t="str">
        <f t="shared" si="215"/>
        <v>D</v>
      </c>
      <c r="AX134" s="279" t="str">
        <f t="shared" si="216"/>
        <v>전략P</v>
      </c>
      <c r="AY134" s="468">
        <v>0.03</v>
      </c>
      <c r="AZ134" s="468"/>
      <c r="BA134" s="279" t="s">
        <v>1687</v>
      </c>
      <c r="BB134" s="279" t="s">
        <v>1549</v>
      </c>
      <c r="BC134" s="279"/>
      <c r="BD134" s="279" t="s">
        <v>1184</v>
      </c>
      <c r="BE134" s="279" t="str">
        <f t="shared" si="149"/>
        <v>기아</v>
      </c>
      <c r="BF134" s="581">
        <v>4.1000000000000002E-2</v>
      </c>
      <c r="BG134" s="281">
        <v>0</v>
      </c>
      <c r="BH134" s="281">
        <v>433000</v>
      </c>
      <c r="BI134" s="279"/>
      <c r="BJ134" s="279"/>
      <c r="BK134" s="279"/>
      <c r="BL134" s="279"/>
      <c r="BM134" s="279" t="s">
        <v>1548</v>
      </c>
      <c r="BN134" s="279"/>
      <c r="BO134" s="279"/>
      <c r="BP134" s="500">
        <f t="shared" si="147"/>
        <v>6.2E-2</v>
      </c>
      <c r="BQ134" s="973">
        <f t="shared" si="148"/>
        <v>5.5E-2</v>
      </c>
    </row>
    <row r="135" spans="1:69" s="460" customFormat="1" ht="15" customHeight="1">
      <c r="A135" s="281">
        <v>121</v>
      </c>
      <c r="B135" s="279">
        <v>458686865</v>
      </c>
      <c r="C135" s="279" t="s">
        <v>521</v>
      </c>
      <c r="D135" s="279" t="s">
        <v>528</v>
      </c>
      <c r="E135" s="279" t="s">
        <v>482</v>
      </c>
      <c r="F135" s="279" t="s">
        <v>474</v>
      </c>
      <c r="G135" s="279">
        <v>43620000</v>
      </c>
      <c r="H135" s="279">
        <v>2151</v>
      </c>
      <c r="I135" s="279">
        <v>0</v>
      </c>
      <c r="J135" s="279">
        <v>7</v>
      </c>
      <c r="K135" s="279" t="s">
        <v>481</v>
      </c>
      <c r="L135" s="279">
        <v>0</v>
      </c>
      <c r="M135" s="279" t="s">
        <v>111</v>
      </c>
      <c r="N135" s="279" t="s">
        <v>522</v>
      </c>
      <c r="O135" s="279" t="s">
        <v>1237</v>
      </c>
      <c r="P135" s="279" t="s">
        <v>532</v>
      </c>
      <c r="Q135" s="277" t="s">
        <v>1227</v>
      </c>
      <c r="R135" s="279" t="s">
        <v>1223</v>
      </c>
      <c r="S135" s="279">
        <v>72</v>
      </c>
      <c r="T135" s="279">
        <v>0</v>
      </c>
      <c r="U135" s="279" t="s">
        <v>504</v>
      </c>
      <c r="V135" s="279" t="s">
        <v>504</v>
      </c>
      <c r="W135" s="279" t="s">
        <v>507</v>
      </c>
      <c r="X135" s="279" t="s">
        <v>484</v>
      </c>
      <c r="Y135" s="279"/>
      <c r="Z135" s="279"/>
      <c r="AA135" s="279"/>
      <c r="AB135" s="279" t="s">
        <v>19</v>
      </c>
      <c r="AC135" s="279" t="s">
        <v>490</v>
      </c>
      <c r="AD135" s="279" t="s">
        <v>491</v>
      </c>
      <c r="AE135" s="279">
        <v>86865</v>
      </c>
      <c r="AF135" s="279" t="s">
        <v>507</v>
      </c>
      <c r="AG135" s="279"/>
      <c r="AH135" s="279"/>
      <c r="AI135" s="279">
        <v>20231108</v>
      </c>
      <c r="AJ135" s="462" t="s">
        <v>1153</v>
      </c>
      <c r="AK135" s="279"/>
      <c r="AL135" s="279" t="str">
        <f>IF(AB135="Y","단종모델",LEFT(N135,3)&amp;IFERROR(VLOOKUP(LEFT(N135,3)&amp;P135,#REF!,2,0),""))</f>
        <v>KIA</v>
      </c>
      <c r="AM135" s="469" t="str">
        <f t="shared" si="212"/>
        <v>더 뉴 카니발 디젤 2.2 7인승</v>
      </c>
      <c r="AN135" s="279">
        <f t="shared" si="125"/>
        <v>43620000</v>
      </c>
      <c r="AO135" s="279">
        <f t="shared" si="126"/>
        <v>2151</v>
      </c>
      <c r="AP135" s="279" t="str">
        <f t="shared" si="127"/>
        <v>D</v>
      </c>
      <c r="AQ135" s="279">
        <f t="shared" si="128"/>
        <v>7</v>
      </c>
      <c r="AR135" s="279" t="str">
        <f t="shared" si="129"/>
        <v>RV</v>
      </c>
      <c r="AS135" s="279" t="str">
        <f t="shared" si="130"/>
        <v>다인승</v>
      </c>
      <c r="AT135" s="279" t="str">
        <f t="shared" si="213"/>
        <v>7급</v>
      </c>
      <c r="AU135" s="279" t="str">
        <f t="shared" si="214"/>
        <v>05:소하리</v>
      </c>
      <c r="AV135" s="279">
        <f t="shared" si="150"/>
        <v>2500</v>
      </c>
      <c r="AW135" s="279" t="str">
        <f t="shared" si="215"/>
        <v>D</v>
      </c>
      <c r="AX135" s="279" t="str">
        <f t="shared" si="216"/>
        <v>전략P</v>
      </c>
      <c r="AY135" s="468">
        <v>0.03</v>
      </c>
      <c r="AZ135" s="468"/>
      <c r="BA135" s="279" t="s">
        <v>1549</v>
      </c>
      <c r="BB135" s="279" t="s">
        <v>1550</v>
      </c>
      <c r="BC135" s="279"/>
      <c r="BD135" s="279" t="s">
        <v>1184</v>
      </c>
      <c r="BE135" s="279" t="str">
        <f t="shared" si="149"/>
        <v>기아</v>
      </c>
      <c r="BF135" s="581">
        <v>4.1000000000000002E-2</v>
      </c>
      <c r="BG135" s="281">
        <v>0</v>
      </c>
      <c r="BH135" s="281">
        <v>433000</v>
      </c>
      <c r="BI135" s="279"/>
      <c r="BJ135" s="279"/>
      <c r="BK135" s="279"/>
      <c r="BL135" s="279"/>
      <c r="BM135" s="279" t="s">
        <v>1548</v>
      </c>
      <c r="BN135" s="279"/>
      <c r="BO135" s="279"/>
      <c r="BP135" s="500">
        <f t="shared" si="147"/>
        <v>6.2E-2</v>
      </c>
      <c r="BQ135" s="973">
        <f t="shared" si="148"/>
        <v>5.5E-2</v>
      </c>
    </row>
    <row r="136" spans="1:69" s="460" customFormat="1" ht="15" customHeight="1">
      <c r="A136" s="281">
        <v>122</v>
      </c>
      <c r="B136" s="279">
        <v>458686870</v>
      </c>
      <c r="C136" s="279" t="s">
        <v>521</v>
      </c>
      <c r="D136" s="279" t="s">
        <v>528</v>
      </c>
      <c r="E136" s="279" t="s">
        <v>482</v>
      </c>
      <c r="F136" s="279" t="s">
        <v>474</v>
      </c>
      <c r="G136" s="279">
        <v>41050000</v>
      </c>
      <c r="H136" s="279">
        <v>2151</v>
      </c>
      <c r="I136" s="279">
        <v>0</v>
      </c>
      <c r="J136" s="279">
        <v>9</v>
      </c>
      <c r="K136" s="279" t="s">
        <v>481</v>
      </c>
      <c r="L136" s="279">
        <v>0</v>
      </c>
      <c r="M136" s="279" t="s">
        <v>111</v>
      </c>
      <c r="N136" s="279" t="s">
        <v>522</v>
      </c>
      <c r="O136" s="279" t="s">
        <v>1237</v>
      </c>
      <c r="P136" s="279" t="s">
        <v>532</v>
      </c>
      <c r="Q136" s="277" t="s">
        <v>1227</v>
      </c>
      <c r="R136" s="279" t="s">
        <v>1224</v>
      </c>
      <c r="S136" s="279">
        <v>72</v>
      </c>
      <c r="T136" s="279">
        <v>13.1</v>
      </c>
      <c r="U136" s="279" t="s">
        <v>506</v>
      </c>
      <c r="V136" s="279" t="s">
        <v>506</v>
      </c>
      <c r="W136" s="279" t="s">
        <v>554</v>
      </c>
      <c r="X136" s="279" t="s">
        <v>484</v>
      </c>
      <c r="Y136" s="279"/>
      <c r="Z136" s="279"/>
      <c r="AA136" s="279"/>
      <c r="AB136" s="279" t="s">
        <v>19</v>
      </c>
      <c r="AC136" s="279" t="s">
        <v>490</v>
      </c>
      <c r="AD136" s="279" t="s">
        <v>491</v>
      </c>
      <c r="AE136" s="279">
        <v>86870</v>
      </c>
      <c r="AF136" s="279" t="s">
        <v>507</v>
      </c>
      <c r="AG136" s="279"/>
      <c r="AH136" s="279"/>
      <c r="AI136" s="279">
        <v>20231108</v>
      </c>
      <c r="AJ136" s="462" t="s">
        <v>1153</v>
      </c>
      <c r="AK136" s="279"/>
      <c r="AL136" s="279" t="str">
        <f>IF(AB136="Y","단종모델",LEFT(N136,3)&amp;IFERROR(VLOOKUP(LEFT(N136,3)&amp;P136,#REF!,2,0),""))</f>
        <v>KIA</v>
      </c>
      <c r="AM136" s="469" t="str">
        <f t="shared" si="212"/>
        <v>더 뉴 카니발 디젤 2.2 9인승</v>
      </c>
      <c r="AN136" s="279">
        <f t="shared" si="125"/>
        <v>41050000</v>
      </c>
      <c r="AO136" s="279">
        <f t="shared" si="126"/>
        <v>2151</v>
      </c>
      <c r="AP136" s="279" t="str">
        <f t="shared" si="127"/>
        <v>D</v>
      </c>
      <c r="AQ136" s="279">
        <f t="shared" si="128"/>
        <v>9</v>
      </c>
      <c r="AR136" s="279" t="str">
        <f t="shared" si="129"/>
        <v>RV</v>
      </c>
      <c r="AS136" s="279" t="str">
        <f t="shared" si="130"/>
        <v>다인승</v>
      </c>
      <c r="AT136" s="279" t="str">
        <f t="shared" si="213"/>
        <v>7급</v>
      </c>
      <c r="AU136" s="279" t="str">
        <f t="shared" si="214"/>
        <v>05:소하리</v>
      </c>
      <c r="AV136" s="279">
        <f t="shared" si="150"/>
        <v>2500</v>
      </c>
      <c r="AW136" s="279" t="str">
        <f t="shared" si="215"/>
        <v>D</v>
      </c>
      <c r="AX136" s="279" t="str">
        <f t="shared" si="216"/>
        <v>전략P</v>
      </c>
      <c r="AY136" s="468">
        <v>0.03</v>
      </c>
      <c r="AZ136" s="468"/>
      <c r="BA136" s="279" t="s">
        <v>1549</v>
      </c>
      <c r="BB136" s="279" t="s">
        <v>1549</v>
      </c>
      <c r="BC136" s="279"/>
      <c r="BD136" s="279" t="s">
        <v>1184</v>
      </c>
      <c r="BE136" s="279" t="str">
        <f t="shared" si="149"/>
        <v>기아</v>
      </c>
      <c r="BF136" s="581">
        <v>4.1000000000000002E-2</v>
      </c>
      <c r="BG136" s="281">
        <v>0</v>
      </c>
      <c r="BH136" s="281">
        <v>433000</v>
      </c>
      <c r="BI136" s="279"/>
      <c r="BJ136" s="279"/>
      <c r="BK136" s="279"/>
      <c r="BL136" s="279"/>
      <c r="BM136" s="279" t="s">
        <v>1548</v>
      </c>
      <c r="BN136" s="279"/>
      <c r="BO136" s="279"/>
      <c r="BP136" s="500">
        <f t="shared" si="147"/>
        <v>6.2E-2</v>
      </c>
      <c r="BQ136" s="973">
        <f t="shared" si="148"/>
        <v>5.5E-2</v>
      </c>
    </row>
    <row r="137" spans="1:69" s="460" customFormat="1" ht="15" customHeight="1">
      <c r="A137" s="281">
        <v>123</v>
      </c>
      <c r="B137" s="279">
        <v>458686895</v>
      </c>
      <c r="C137" s="279" t="s">
        <v>521</v>
      </c>
      <c r="D137" s="279" t="s">
        <v>528</v>
      </c>
      <c r="E137" s="279" t="s">
        <v>482</v>
      </c>
      <c r="F137" s="279" t="s">
        <v>474</v>
      </c>
      <c r="G137" s="279">
        <v>96500000</v>
      </c>
      <c r="H137" s="279">
        <v>1598</v>
      </c>
      <c r="I137" s="279">
        <v>0</v>
      </c>
      <c r="J137" s="279">
        <v>4</v>
      </c>
      <c r="K137" s="279" t="s">
        <v>475</v>
      </c>
      <c r="L137" s="279">
        <v>0</v>
      </c>
      <c r="M137" s="279" t="s">
        <v>111</v>
      </c>
      <c r="N137" s="279" t="s">
        <v>522</v>
      </c>
      <c r="O137" s="279" t="s">
        <v>1237</v>
      </c>
      <c r="P137" s="279" t="s">
        <v>532</v>
      </c>
      <c r="Q137" s="277" t="s">
        <v>1228</v>
      </c>
      <c r="R137" s="279" t="s">
        <v>1230</v>
      </c>
      <c r="S137" s="279">
        <v>72</v>
      </c>
      <c r="T137" s="279">
        <v>0</v>
      </c>
      <c r="U137" s="279" t="s">
        <v>504</v>
      </c>
      <c r="V137" s="279" t="s">
        <v>504</v>
      </c>
      <c r="W137" s="279" t="s">
        <v>473</v>
      </c>
      <c r="X137" s="279" t="s">
        <v>478</v>
      </c>
      <c r="Y137" s="279"/>
      <c r="Z137" s="279"/>
      <c r="AA137" s="279"/>
      <c r="AB137" s="279" t="s">
        <v>19</v>
      </c>
      <c r="AC137" s="279" t="s">
        <v>490</v>
      </c>
      <c r="AD137" s="279" t="s">
        <v>491</v>
      </c>
      <c r="AE137" s="279">
        <v>86895</v>
      </c>
      <c r="AF137" s="279" t="s">
        <v>473</v>
      </c>
      <c r="AG137" s="279"/>
      <c r="AH137" s="279"/>
      <c r="AI137" s="279">
        <v>20231122</v>
      </c>
      <c r="AJ137" s="462" t="s">
        <v>937</v>
      </c>
      <c r="AK137" s="279"/>
      <c r="AL137" s="279" t="str">
        <f>IF(AB137="Y","단종모델",LEFT(N137,3)&amp;IFERROR(VLOOKUP(LEFT(N137,3)&amp;P137,#REF!,2,0),""))</f>
        <v>KIA</v>
      </c>
      <c r="AM137" s="469" t="str">
        <f t="shared" si="212"/>
        <v>더 뉴 카니발 가솔린 터보 1.6 하이브리드 하이리무진 4인승</v>
      </c>
      <c r="AN137" s="279">
        <f t="shared" si="125"/>
        <v>96500000</v>
      </c>
      <c r="AO137" s="279">
        <f t="shared" si="126"/>
        <v>1598</v>
      </c>
      <c r="AP137" s="279" t="str">
        <f t="shared" ref="AP137:AP139" si="217">LEFT(K137,1)</f>
        <v>M</v>
      </c>
      <c r="AQ137" s="279">
        <f t="shared" ref="AQ137:AQ139" si="218">J137</f>
        <v>4</v>
      </c>
      <c r="AR137" s="279" t="str">
        <f t="shared" ref="AR137:AR139" si="219">RIGHT(D137,2)</f>
        <v>RV</v>
      </c>
      <c r="AS137" s="279" t="str">
        <f t="shared" ref="AS137:AS139" si="220">MID(W137,4,3)</f>
        <v>승용</v>
      </c>
      <c r="AT137" s="279" t="str">
        <f t="shared" ref="AT137:AT139" si="221">RIGHT(AC137,2)</f>
        <v>7급</v>
      </c>
      <c r="AU137" s="279" t="str">
        <f t="shared" ref="AU137:AU139" si="222">AB137</f>
        <v>05:소하리</v>
      </c>
      <c r="AV137" s="279">
        <f t="shared" si="150"/>
        <v>1900</v>
      </c>
      <c r="AW137" s="279" t="str">
        <f t="shared" ref="AW137:AW139" si="223">LEFT(F137,1)</f>
        <v>D</v>
      </c>
      <c r="AX137" s="279" t="str">
        <f t="shared" ref="AX137:AX139" si="224">AJ137</f>
        <v>전략P</v>
      </c>
      <c r="AY137" s="468">
        <v>0.02</v>
      </c>
      <c r="AZ137" s="468"/>
      <c r="BA137" s="279" t="s">
        <v>1685</v>
      </c>
      <c r="BB137" s="279" t="s">
        <v>1647</v>
      </c>
      <c r="BC137" s="279"/>
      <c r="BD137" s="279" t="s">
        <v>1184</v>
      </c>
      <c r="BE137" s="279" t="str">
        <f t="shared" si="149"/>
        <v>기아</v>
      </c>
      <c r="BF137" s="581">
        <v>4.1000000000000002E-2</v>
      </c>
      <c r="BG137" s="281">
        <v>0</v>
      </c>
      <c r="BH137" s="281">
        <v>0</v>
      </c>
      <c r="BI137" s="279"/>
      <c r="BJ137" s="279"/>
      <c r="BK137" s="279"/>
      <c r="BL137" s="279"/>
      <c r="BM137" s="279" t="s">
        <v>1548</v>
      </c>
      <c r="BN137" s="279"/>
      <c r="BO137" s="279"/>
      <c r="BP137" s="500">
        <f t="shared" si="147"/>
        <v>6.2E-2</v>
      </c>
      <c r="BQ137" s="973">
        <f t="shared" si="148"/>
        <v>5.5E-2</v>
      </c>
    </row>
    <row r="138" spans="1:69" s="460" customFormat="1" ht="15" customHeight="1">
      <c r="A138" s="281">
        <v>124</v>
      </c>
      <c r="B138" s="279">
        <v>458686894</v>
      </c>
      <c r="C138" s="279" t="s">
        <v>521</v>
      </c>
      <c r="D138" s="279" t="s">
        <v>528</v>
      </c>
      <c r="E138" s="279" t="s">
        <v>482</v>
      </c>
      <c r="F138" s="279" t="s">
        <v>474</v>
      </c>
      <c r="G138" s="279">
        <v>72700000</v>
      </c>
      <c r="H138" s="279">
        <v>1598</v>
      </c>
      <c r="I138" s="279">
        <v>0</v>
      </c>
      <c r="J138" s="279">
        <v>7</v>
      </c>
      <c r="K138" s="279" t="s">
        <v>475</v>
      </c>
      <c r="L138" s="279">
        <v>0</v>
      </c>
      <c r="M138" s="279" t="s">
        <v>111</v>
      </c>
      <c r="N138" s="279" t="s">
        <v>522</v>
      </c>
      <c r="O138" s="279" t="s">
        <v>1237</v>
      </c>
      <c r="P138" s="279" t="s">
        <v>532</v>
      </c>
      <c r="Q138" s="277" t="s">
        <v>1228</v>
      </c>
      <c r="R138" s="279" t="s">
        <v>1231</v>
      </c>
      <c r="S138" s="279">
        <v>72</v>
      </c>
      <c r="T138" s="279">
        <v>0</v>
      </c>
      <c r="U138" s="279" t="s">
        <v>504</v>
      </c>
      <c r="V138" s="279" t="s">
        <v>504</v>
      </c>
      <c r="W138" s="279" t="s">
        <v>507</v>
      </c>
      <c r="X138" s="279" t="s">
        <v>478</v>
      </c>
      <c r="Y138" s="279"/>
      <c r="Z138" s="279"/>
      <c r="AA138" s="279"/>
      <c r="AB138" s="279" t="s">
        <v>19</v>
      </c>
      <c r="AC138" s="279" t="s">
        <v>490</v>
      </c>
      <c r="AD138" s="279" t="s">
        <v>491</v>
      </c>
      <c r="AE138" s="279">
        <v>86894</v>
      </c>
      <c r="AF138" s="279" t="s">
        <v>507</v>
      </c>
      <c r="AG138" s="279"/>
      <c r="AH138" s="279"/>
      <c r="AI138" s="279">
        <v>20231122</v>
      </c>
      <c r="AJ138" s="462" t="s">
        <v>937</v>
      </c>
      <c r="AK138" s="279"/>
      <c r="AL138" s="279" t="str">
        <f>IF(AB138="Y","단종모델",LEFT(N138,3)&amp;IFERROR(VLOOKUP(LEFT(N138,3)&amp;P138,#REF!,2,0),""))</f>
        <v>KIA</v>
      </c>
      <c r="AM138" s="469" t="str">
        <f t="shared" si="212"/>
        <v>더 뉴 카니발 가솔린 터보 1.6 하이브리드 하이리무진 7인승</v>
      </c>
      <c r="AN138" s="279">
        <f t="shared" si="125"/>
        <v>72700000</v>
      </c>
      <c r="AO138" s="279">
        <f t="shared" si="126"/>
        <v>1598</v>
      </c>
      <c r="AP138" s="279" t="str">
        <f t="shared" si="217"/>
        <v>M</v>
      </c>
      <c r="AQ138" s="279">
        <f t="shared" si="218"/>
        <v>7</v>
      </c>
      <c r="AR138" s="279" t="str">
        <f t="shared" si="219"/>
        <v>RV</v>
      </c>
      <c r="AS138" s="279" t="str">
        <f t="shared" si="220"/>
        <v>다인승</v>
      </c>
      <c r="AT138" s="279" t="str">
        <f t="shared" si="221"/>
        <v>7급</v>
      </c>
      <c r="AU138" s="279" t="str">
        <f t="shared" si="222"/>
        <v>05:소하리</v>
      </c>
      <c r="AV138" s="279">
        <f t="shared" si="150"/>
        <v>2500</v>
      </c>
      <c r="AW138" s="279" t="str">
        <f t="shared" si="223"/>
        <v>D</v>
      </c>
      <c r="AX138" s="279" t="str">
        <f t="shared" si="224"/>
        <v>전략P</v>
      </c>
      <c r="AY138" s="468">
        <v>0.02</v>
      </c>
      <c r="AZ138" s="468"/>
      <c r="BA138" s="279" t="s">
        <v>1685</v>
      </c>
      <c r="BB138" s="279" t="s">
        <v>1648</v>
      </c>
      <c r="BC138" s="279"/>
      <c r="BD138" s="279" t="s">
        <v>1184</v>
      </c>
      <c r="BE138" s="279" t="str">
        <f t="shared" si="149"/>
        <v>기아</v>
      </c>
      <c r="BF138" s="581">
        <v>4.1000000000000002E-2</v>
      </c>
      <c r="BG138" s="281">
        <v>0</v>
      </c>
      <c r="BH138" s="281">
        <v>0</v>
      </c>
      <c r="BI138" s="279"/>
      <c r="BJ138" s="279"/>
      <c r="BK138" s="279"/>
      <c r="BL138" s="279"/>
      <c r="BM138" s="279" t="s">
        <v>1548</v>
      </c>
      <c r="BN138" s="279"/>
      <c r="BO138" s="279"/>
      <c r="BP138" s="500">
        <f t="shared" si="147"/>
        <v>6.2E-2</v>
      </c>
      <c r="BQ138" s="973">
        <f t="shared" si="148"/>
        <v>5.5E-2</v>
      </c>
    </row>
    <row r="139" spans="1:69" s="460" customFormat="1" ht="15" customHeight="1">
      <c r="A139" s="281">
        <v>125</v>
      </c>
      <c r="B139" s="279">
        <v>458686884</v>
      </c>
      <c r="C139" s="279" t="s">
        <v>521</v>
      </c>
      <c r="D139" s="279" t="s">
        <v>528</v>
      </c>
      <c r="E139" s="279" t="s">
        <v>482</v>
      </c>
      <c r="F139" s="279" t="s">
        <v>474</v>
      </c>
      <c r="G139" s="279">
        <v>69450000</v>
      </c>
      <c r="H139" s="279">
        <v>1598</v>
      </c>
      <c r="I139" s="279">
        <v>0</v>
      </c>
      <c r="J139" s="279">
        <v>9</v>
      </c>
      <c r="K139" s="279" t="s">
        <v>475</v>
      </c>
      <c r="L139" s="279">
        <v>0</v>
      </c>
      <c r="M139" s="279" t="s">
        <v>111</v>
      </c>
      <c r="N139" s="279" t="s">
        <v>522</v>
      </c>
      <c r="O139" s="279" t="s">
        <v>1237</v>
      </c>
      <c r="P139" s="279" t="s">
        <v>532</v>
      </c>
      <c r="Q139" s="277" t="s">
        <v>1228</v>
      </c>
      <c r="R139" s="279" t="s">
        <v>1233</v>
      </c>
      <c r="S139" s="279">
        <v>72</v>
      </c>
      <c r="T139" s="279">
        <v>0</v>
      </c>
      <c r="U139" s="279" t="s">
        <v>504</v>
      </c>
      <c r="V139" s="279" t="s">
        <v>504</v>
      </c>
      <c r="W139" s="279" t="s">
        <v>554</v>
      </c>
      <c r="X139" s="279" t="s">
        <v>478</v>
      </c>
      <c r="Y139" s="279"/>
      <c r="Z139" s="279"/>
      <c r="AA139" s="279"/>
      <c r="AB139" s="279" t="s">
        <v>19</v>
      </c>
      <c r="AC139" s="279" t="s">
        <v>490</v>
      </c>
      <c r="AD139" s="279" t="s">
        <v>491</v>
      </c>
      <c r="AE139" s="279">
        <v>86884</v>
      </c>
      <c r="AF139" s="279" t="s">
        <v>507</v>
      </c>
      <c r="AG139" s="279"/>
      <c r="AH139" s="279"/>
      <c r="AI139" s="279">
        <v>20231122</v>
      </c>
      <c r="AJ139" s="462" t="s">
        <v>937</v>
      </c>
      <c r="AK139" s="279"/>
      <c r="AL139" s="279" t="str">
        <f>IF(AB139="Y","단종모델",LEFT(N139,3)&amp;IFERROR(VLOOKUP(LEFT(N139,3)&amp;P139,#REF!,2,0),""))</f>
        <v>KIA</v>
      </c>
      <c r="AM139" s="469" t="str">
        <f t="shared" si="212"/>
        <v>더 뉴 카니발 가솔린 터보 1.6 하이브리드 하이리무진 9인승</v>
      </c>
      <c r="AN139" s="279">
        <f t="shared" si="125"/>
        <v>69450000</v>
      </c>
      <c r="AO139" s="279">
        <f t="shared" si="126"/>
        <v>1598</v>
      </c>
      <c r="AP139" s="279" t="str">
        <f t="shared" si="217"/>
        <v>M</v>
      </c>
      <c r="AQ139" s="279">
        <f t="shared" si="218"/>
        <v>9</v>
      </c>
      <c r="AR139" s="279" t="str">
        <f t="shared" si="219"/>
        <v>RV</v>
      </c>
      <c r="AS139" s="279" t="str">
        <f t="shared" si="220"/>
        <v>다인승</v>
      </c>
      <c r="AT139" s="279" t="str">
        <f t="shared" si="221"/>
        <v>7급</v>
      </c>
      <c r="AU139" s="279" t="str">
        <f t="shared" si="222"/>
        <v>05:소하리</v>
      </c>
      <c r="AV139" s="279">
        <f t="shared" si="150"/>
        <v>2500</v>
      </c>
      <c r="AW139" s="279" t="str">
        <f t="shared" si="223"/>
        <v>D</v>
      </c>
      <c r="AX139" s="279" t="str">
        <f t="shared" si="224"/>
        <v>전략P</v>
      </c>
      <c r="AY139" s="468">
        <v>0.02</v>
      </c>
      <c r="AZ139" s="468"/>
      <c r="BA139" s="279" t="s">
        <v>1685</v>
      </c>
      <c r="BB139" s="279" t="s">
        <v>1648</v>
      </c>
      <c r="BC139" s="279"/>
      <c r="BD139" s="279" t="s">
        <v>1184</v>
      </c>
      <c r="BE139" s="279" t="str">
        <f t="shared" si="149"/>
        <v>기아</v>
      </c>
      <c r="BF139" s="581">
        <v>4.1000000000000002E-2</v>
      </c>
      <c r="BG139" s="281">
        <v>0</v>
      </c>
      <c r="BH139" s="281">
        <v>0</v>
      </c>
      <c r="BI139" s="279"/>
      <c r="BJ139" s="279"/>
      <c r="BK139" s="279"/>
      <c r="BL139" s="279"/>
      <c r="BM139" s="279" t="s">
        <v>1548</v>
      </c>
      <c r="BN139" s="279"/>
      <c r="BO139" s="279"/>
      <c r="BP139" s="500">
        <f t="shared" si="147"/>
        <v>6.2E-2</v>
      </c>
      <c r="BQ139" s="973">
        <f t="shared" si="148"/>
        <v>5.5E-2</v>
      </c>
    </row>
    <row r="140" spans="1:69" s="460" customFormat="1" ht="15" customHeight="1">
      <c r="A140" s="281">
        <v>126</v>
      </c>
      <c r="B140" s="279">
        <v>458686896</v>
      </c>
      <c r="C140" s="279" t="s">
        <v>521</v>
      </c>
      <c r="D140" s="279" t="s">
        <v>528</v>
      </c>
      <c r="E140" s="279" t="s">
        <v>482</v>
      </c>
      <c r="F140" s="279" t="s">
        <v>474</v>
      </c>
      <c r="G140" s="279">
        <v>92000000</v>
      </c>
      <c r="H140" s="279">
        <v>3470</v>
      </c>
      <c r="I140" s="279">
        <v>0</v>
      </c>
      <c r="J140" s="279">
        <v>4</v>
      </c>
      <c r="K140" s="279" t="s">
        <v>475</v>
      </c>
      <c r="L140" s="279">
        <v>0</v>
      </c>
      <c r="M140" s="279" t="s">
        <v>111</v>
      </c>
      <c r="N140" s="279" t="s">
        <v>522</v>
      </c>
      <c r="O140" s="279" t="s">
        <v>1237</v>
      </c>
      <c r="P140" s="279" t="s">
        <v>532</v>
      </c>
      <c r="Q140" s="277" t="s">
        <v>1234</v>
      </c>
      <c r="R140" s="279" t="s">
        <v>1229</v>
      </c>
      <c r="S140" s="279">
        <v>72</v>
      </c>
      <c r="T140" s="279">
        <v>8.5</v>
      </c>
      <c r="U140" s="279" t="s">
        <v>504</v>
      </c>
      <c r="V140" s="279" t="s">
        <v>504</v>
      </c>
      <c r="W140" s="279" t="s">
        <v>473</v>
      </c>
      <c r="X140" s="279" t="s">
        <v>484</v>
      </c>
      <c r="Y140" s="279"/>
      <c r="Z140" s="279"/>
      <c r="AA140" s="279"/>
      <c r="AB140" s="279" t="s">
        <v>19</v>
      </c>
      <c r="AC140" s="279" t="s">
        <v>490</v>
      </c>
      <c r="AD140" s="279" t="s">
        <v>491</v>
      </c>
      <c r="AE140" s="279">
        <v>86896</v>
      </c>
      <c r="AF140" s="279" t="s">
        <v>473</v>
      </c>
      <c r="AG140" s="279"/>
      <c r="AH140" s="279"/>
      <c r="AI140" s="279">
        <v>20231122</v>
      </c>
      <c r="AJ140" s="462" t="s">
        <v>1153</v>
      </c>
      <c r="AK140" s="279"/>
      <c r="AL140" s="279" t="str">
        <f>IF(AB140="Y","단종모델",LEFT(N140,3)&amp;IFERROR(VLOOKUP(LEFT(N140,3)&amp;P140,#REF!,2,0),""))</f>
        <v>KIA</v>
      </c>
      <c r="AM140" s="469" t="str">
        <f t="shared" si="212"/>
        <v>더 뉴 카니발 가솔린 3.5 하이리무진 4인승</v>
      </c>
      <c r="AN140" s="279">
        <f t="shared" si="125"/>
        <v>92000000</v>
      </c>
      <c r="AO140" s="279">
        <f t="shared" si="126"/>
        <v>3470</v>
      </c>
      <c r="AP140" s="279" t="str">
        <f t="shared" si="127"/>
        <v>M</v>
      </c>
      <c r="AQ140" s="279">
        <f t="shared" si="128"/>
        <v>4</v>
      </c>
      <c r="AR140" s="279" t="str">
        <f t="shared" si="129"/>
        <v>RV</v>
      </c>
      <c r="AS140" s="279" t="str">
        <f t="shared" si="130"/>
        <v>승용</v>
      </c>
      <c r="AT140" s="279" t="str">
        <f t="shared" si="213"/>
        <v>7급</v>
      </c>
      <c r="AU140" s="279" t="str">
        <f t="shared" si="214"/>
        <v>05:소하리</v>
      </c>
      <c r="AV140" s="279">
        <f t="shared" si="150"/>
        <v>1900</v>
      </c>
      <c r="AW140" s="279" t="str">
        <f t="shared" si="215"/>
        <v>D</v>
      </c>
      <c r="AX140" s="279" t="str">
        <f t="shared" si="216"/>
        <v>전략P</v>
      </c>
      <c r="AY140" s="468">
        <v>0.03</v>
      </c>
      <c r="AZ140" s="468"/>
      <c r="BA140" s="279" t="s">
        <v>1685</v>
      </c>
      <c r="BB140" s="279" t="s">
        <v>1645</v>
      </c>
      <c r="BC140" s="279"/>
      <c r="BD140" s="279" t="s">
        <v>1184</v>
      </c>
      <c r="BE140" s="279" t="str">
        <f t="shared" si="149"/>
        <v>기아</v>
      </c>
      <c r="BF140" s="581">
        <v>4.1000000000000002E-2</v>
      </c>
      <c r="BG140" s="281">
        <v>0</v>
      </c>
      <c r="BH140" s="281">
        <v>0</v>
      </c>
      <c r="BI140" s="279"/>
      <c r="BJ140" s="279"/>
      <c r="BK140" s="279"/>
      <c r="BL140" s="279"/>
      <c r="BM140" s="279" t="s">
        <v>1548</v>
      </c>
      <c r="BN140" s="279"/>
      <c r="BO140" s="279"/>
      <c r="BP140" s="500">
        <f t="shared" si="147"/>
        <v>6.2E-2</v>
      </c>
      <c r="BQ140" s="973">
        <f t="shared" si="148"/>
        <v>5.5E-2</v>
      </c>
    </row>
    <row r="141" spans="1:69" s="460" customFormat="1" ht="15" customHeight="1">
      <c r="A141" s="281">
        <v>127</v>
      </c>
      <c r="B141" s="279">
        <v>458686897</v>
      </c>
      <c r="C141" s="279" t="s">
        <v>521</v>
      </c>
      <c r="D141" s="279" t="s">
        <v>528</v>
      </c>
      <c r="E141" s="279" t="s">
        <v>482</v>
      </c>
      <c r="F141" s="279" t="s">
        <v>474</v>
      </c>
      <c r="G141" s="279">
        <v>68200000</v>
      </c>
      <c r="H141" s="279">
        <v>3470</v>
      </c>
      <c r="I141" s="279">
        <v>0</v>
      </c>
      <c r="J141" s="279">
        <v>7</v>
      </c>
      <c r="K141" s="279" t="s">
        <v>475</v>
      </c>
      <c r="L141" s="279">
        <v>0</v>
      </c>
      <c r="M141" s="279" t="s">
        <v>111</v>
      </c>
      <c r="N141" s="279" t="s">
        <v>522</v>
      </c>
      <c r="O141" s="279" t="s">
        <v>1237</v>
      </c>
      <c r="P141" s="279" t="s">
        <v>532</v>
      </c>
      <c r="Q141" s="279" t="s">
        <v>1234</v>
      </c>
      <c r="R141" s="279" t="s">
        <v>1014</v>
      </c>
      <c r="S141" s="279">
        <v>72</v>
      </c>
      <c r="T141" s="279">
        <v>8.6999999999999993</v>
      </c>
      <c r="U141" s="279" t="s">
        <v>504</v>
      </c>
      <c r="V141" s="279" t="s">
        <v>504</v>
      </c>
      <c r="W141" s="279" t="s">
        <v>507</v>
      </c>
      <c r="X141" s="279" t="s">
        <v>484</v>
      </c>
      <c r="Y141" s="279"/>
      <c r="Z141" s="279"/>
      <c r="AA141" s="279"/>
      <c r="AB141" s="279" t="s">
        <v>19</v>
      </c>
      <c r="AC141" s="279" t="s">
        <v>490</v>
      </c>
      <c r="AD141" s="279" t="s">
        <v>491</v>
      </c>
      <c r="AE141" s="279">
        <v>86897</v>
      </c>
      <c r="AF141" s="279" t="s">
        <v>507</v>
      </c>
      <c r="AG141" s="279"/>
      <c r="AH141" s="279">
        <v>0</v>
      </c>
      <c r="AI141" s="279">
        <v>20231122</v>
      </c>
      <c r="AJ141" s="462" t="s">
        <v>1153</v>
      </c>
      <c r="AK141" s="279"/>
      <c r="AL141" s="279" t="str">
        <f>IF(AB141="Y","단종모델",LEFT(N141,3)&amp;IFERROR(VLOOKUP(LEFT(N141,3)&amp;P141,#REF!,2,0),""))</f>
        <v>KIA</v>
      </c>
      <c r="AM141" s="469" t="str">
        <f t="shared" si="212"/>
        <v>더 뉴 카니발 가솔린 3.5 하이리무진 7인승</v>
      </c>
      <c r="AN141" s="279">
        <f t="shared" si="125"/>
        <v>68200000</v>
      </c>
      <c r="AO141" s="279">
        <f t="shared" si="126"/>
        <v>3470</v>
      </c>
      <c r="AP141" s="279" t="str">
        <f t="shared" si="127"/>
        <v>M</v>
      </c>
      <c r="AQ141" s="279">
        <f t="shared" si="128"/>
        <v>7</v>
      </c>
      <c r="AR141" s="279" t="str">
        <f t="shared" si="129"/>
        <v>RV</v>
      </c>
      <c r="AS141" s="279" t="str">
        <f t="shared" si="130"/>
        <v>다인승</v>
      </c>
      <c r="AT141" s="279" t="str">
        <f t="shared" si="213"/>
        <v>7급</v>
      </c>
      <c r="AU141" s="279" t="str">
        <f t="shared" si="214"/>
        <v>05:소하리</v>
      </c>
      <c r="AV141" s="279">
        <f t="shared" si="150"/>
        <v>2500</v>
      </c>
      <c r="AW141" s="279" t="str">
        <f t="shared" si="215"/>
        <v>D</v>
      </c>
      <c r="AX141" s="279" t="str">
        <f t="shared" si="216"/>
        <v>전략P</v>
      </c>
      <c r="AY141" s="468">
        <v>0.03</v>
      </c>
      <c r="AZ141" s="468"/>
      <c r="BA141" s="279" t="s">
        <v>1641</v>
      </c>
      <c r="BB141" s="279" t="s">
        <v>1642</v>
      </c>
      <c r="BC141" s="279"/>
      <c r="BD141" s="279" t="s">
        <v>1184</v>
      </c>
      <c r="BE141" s="279" t="str">
        <f t="shared" si="149"/>
        <v>기아</v>
      </c>
      <c r="BF141" s="581">
        <v>4.1000000000000002E-2</v>
      </c>
      <c r="BG141" s="281">
        <v>0</v>
      </c>
      <c r="BH141" s="281">
        <v>0</v>
      </c>
      <c r="BI141" s="279"/>
      <c r="BJ141" s="279"/>
      <c r="BK141" s="279"/>
      <c r="BL141" s="279"/>
      <c r="BM141" s="279" t="s">
        <v>1548</v>
      </c>
      <c r="BN141" s="279"/>
      <c r="BO141" s="279"/>
      <c r="BP141" s="500">
        <f t="shared" si="147"/>
        <v>6.2E-2</v>
      </c>
      <c r="BQ141" s="973">
        <f t="shared" si="148"/>
        <v>5.5E-2</v>
      </c>
    </row>
    <row r="142" spans="1:69" s="460" customFormat="1" ht="15" customHeight="1">
      <c r="A142" s="281">
        <v>128</v>
      </c>
      <c r="B142" s="279">
        <v>458686898</v>
      </c>
      <c r="C142" s="279" t="s">
        <v>521</v>
      </c>
      <c r="D142" s="279" t="s">
        <v>528</v>
      </c>
      <c r="E142" s="279" t="s">
        <v>482</v>
      </c>
      <c r="F142" s="279" t="s">
        <v>474</v>
      </c>
      <c r="G142" s="279">
        <v>64900000</v>
      </c>
      <c r="H142" s="279">
        <v>3470</v>
      </c>
      <c r="I142" s="279">
        <v>0</v>
      </c>
      <c r="J142" s="279">
        <v>9</v>
      </c>
      <c r="K142" s="279" t="s">
        <v>475</v>
      </c>
      <c r="L142" s="279">
        <v>0</v>
      </c>
      <c r="M142" s="279" t="s">
        <v>111</v>
      </c>
      <c r="N142" s="279" t="s">
        <v>522</v>
      </c>
      <c r="O142" s="279" t="s">
        <v>1237</v>
      </c>
      <c r="P142" s="279" t="s">
        <v>532</v>
      </c>
      <c r="Q142" s="279" t="s">
        <v>1234</v>
      </c>
      <c r="R142" s="279" t="s">
        <v>1232</v>
      </c>
      <c r="S142" s="279">
        <v>72</v>
      </c>
      <c r="T142" s="279">
        <v>8.6999999999999993</v>
      </c>
      <c r="U142" s="279" t="s">
        <v>504</v>
      </c>
      <c r="V142" s="279" t="s">
        <v>504</v>
      </c>
      <c r="W142" s="279" t="s">
        <v>554</v>
      </c>
      <c r="X142" s="279" t="s">
        <v>484</v>
      </c>
      <c r="Y142" s="279"/>
      <c r="Z142" s="279"/>
      <c r="AA142" s="279"/>
      <c r="AB142" s="279" t="s">
        <v>19</v>
      </c>
      <c r="AC142" s="279" t="s">
        <v>490</v>
      </c>
      <c r="AD142" s="279" t="s">
        <v>491</v>
      </c>
      <c r="AE142" s="279">
        <v>86898</v>
      </c>
      <c r="AF142" s="279" t="s">
        <v>507</v>
      </c>
      <c r="AG142" s="279"/>
      <c r="AH142" s="279">
        <v>0</v>
      </c>
      <c r="AI142" s="279">
        <v>20231122</v>
      </c>
      <c r="AJ142" s="462" t="s">
        <v>1153</v>
      </c>
      <c r="AK142" s="279"/>
      <c r="AL142" s="279" t="str">
        <f>IF(AB142="Y","단종모델",LEFT(N142,3)&amp;IFERROR(VLOOKUP(LEFT(N142,3)&amp;P142,#REF!,2,0),""))</f>
        <v>KIA</v>
      </c>
      <c r="AM142" s="469" t="str">
        <f t="shared" si="212"/>
        <v>더 뉴 카니발 가솔린 3.5 하이리무진 9인승</v>
      </c>
      <c r="AN142" s="279">
        <f t="shared" si="125"/>
        <v>64900000</v>
      </c>
      <c r="AO142" s="279">
        <f t="shared" si="126"/>
        <v>3470</v>
      </c>
      <c r="AP142" s="279" t="str">
        <f t="shared" si="127"/>
        <v>M</v>
      </c>
      <c r="AQ142" s="279">
        <f t="shared" si="128"/>
        <v>9</v>
      </c>
      <c r="AR142" s="279" t="str">
        <f t="shared" si="129"/>
        <v>RV</v>
      </c>
      <c r="AS142" s="279" t="str">
        <f t="shared" si="130"/>
        <v>다인승</v>
      </c>
      <c r="AT142" s="279" t="str">
        <f t="shared" si="213"/>
        <v>7급</v>
      </c>
      <c r="AU142" s="279" t="str">
        <f t="shared" si="214"/>
        <v>05:소하리</v>
      </c>
      <c r="AV142" s="279">
        <f t="shared" si="150"/>
        <v>2500</v>
      </c>
      <c r="AW142" s="279" t="str">
        <f t="shared" si="215"/>
        <v>D</v>
      </c>
      <c r="AX142" s="279" t="str">
        <f t="shared" si="216"/>
        <v>전략P</v>
      </c>
      <c r="AY142" s="468">
        <v>0.03</v>
      </c>
      <c r="AZ142" s="468"/>
      <c r="BA142" s="279" t="s">
        <v>1641</v>
      </c>
      <c r="BB142" s="279" t="s">
        <v>1642</v>
      </c>
      <c r="BC142" s="279"/>
      <c r="BD142" s="279" t="s">
        <v>1184</v>
      </c>
      <c r="BE142" s="279" t="str">
        <f t="shared" si="149"/>
        <v>기아</v>
      </c>
      <c r="BF142" s="581">
        <v>4.1000000000000002E-2</v>
      </c>
      <c r="BG142" s="281">
        <v>0</v>
      </c>
      <c r="BH142" s="281">
        <v>0</v>
      </c>
      <c r="BI142" s="279"/>
      <c r="BJ142" s="279"/>
      <c r="BK142" s="279"/>
      <c r="BL142" s="279"/>
      <c r="BM142" s="279" t="s">
        <v>1548</v>
      </c>
      <c r="BN142" s="279"/>
      <c r="BO142" s="279"/>
      <c r="BP142" s="500">
        <f t="shared" si="147"/>
        <v>6.2E-2</v>
      </c>
      <c r="BQ142" s="973">
        <f t="shared" si="148"/>
        <v>5.5E-2</v>
      </c>
    </row>
    <row r="143" spans="1:69" s="460" customFormat="1" ht="15" customHeight="1">
      <c r="A143" s="281">
        <v>129</v>
      </c>
      <c r="B143" s="279">
        <v>458686899</v>
      </c>
      <c r="C143" s="279" t="s">
        <v>521</v>
      </c>
      <c r="D143" s="279" t="s">
        <v>528</v>
      </c>
      <c r="E143" s="279" t="s">
        <v>482</v>
      </c>
      <c r="F143" s="279" t="s">
        <v>474</v>
      </c>
      <c r="G143" s="279">
        <v>66850000</v>
      </c>
      <c r="H143" s="279">
        <v>2151</v>
      </c>
      <c r="I143" s="279">
        <v>0</v>
      </c>
      <c r="J143" s="279">
        <v>9</v>
      </c>
      <c r="K143" s="279" t="s">
        <v>481</v>
      </c>
      <c r="L143" s="279">
        <v>0</v>
      </c>
      <c r="M143" s="279" t="s">
        <v>111</v>
      </c>
      <c r="N143" s="279" t="s">
        <v>522</v>
      </c>
      <c r="O143" s="279" t="s">
        <v>1237</v>
      </c>
      <c r="P143" s="279" t="s">
        <v>532</v>
      </c>
      <c r="Q143" s="279" t="s">
        <v>1235</v>
      </c>
      <c r="R143" s="279" t="s">
        <v>1232</v>
      </c>
      <c r="S143" s="279">
        <v>72</v>
      </c>
      <c r="T143" s="279">
        <v>11.7</v>
      </c>
      <c r="U143" s="279" t="s">
        <v>504</v>
      </c>
      <c r="V143" s="279" t="s">
        <v>504</v>
      </c>
      <c r="W143" s="279" t="s">
        <v>554</v>
      </c>
      <c r="X143" s="279" t="s">
        <v>484</v>
      </c>
      <c r="Y143" s="279"/>
      <c r="Z143" s="279"/>
      <c r="AA143" s="279"/>
      <c r="AB143" s="279" t="s">
        <v>19</v>
      </c>
      <c r="AC143" s="279" t="s">
        <v>490</v>
      </c>
      <c r="AD143" s="279" t="s">
        <v>491</v>
      </c>
      <c r="AE143" s="279">
        <v>86899</v>
      </c>
      <c r="AF143" s="279" t="s">
        <v>507</v>
      </c>
      <c r="AG143" s="279"/>
      <c r="AH143" s="279"/>
      <c r="AI143" s="279">
        <v>20231122</v>
      </c>
      <c r="AJ143" s="462" t="s">
        <v>1153</v>
      </c>
      <c r="AK143" s="279"/>
      <c r="AL143" s="279" t="str">
        <f>IF(AB143="Y","단종모델",LEFT(N143,3)&amp;IFERROR(VLOOKUP(LEFT(N143,3)&amp;P143,#REF!,2,0),""))</f>
        <v>KIA</v>
      </c>
      <c r="AM143" s="469" t="str">
        <f t="shared" si="212"/>
        <v>더 뉴 카니발 디젤 2.2 하이리무진 9인승</v>
      </c>
      <c r="AN143" s="279">
        <f t="shared" si="125"/>
        <v>66850000</v>
      </c>
      <c r="AO143" s="279">
        <f t="shared" si="126"/>
        <v>2151</v>
      </c>
      <c r="AP143" s="279" t="str">
        <f t="shared" si="127"/>
        <v>D</v>
      </c>
      <c r="AQ143" s="279">
        <f t="shared" si="128"/>
        <v>9</v>
      </c>
      <c r="AR143" s="279" t="str">
        <f t="shared" si="129"/>
        <v>RV</v>
      </c>
      <c r="AS143" s="279" t="str">
        <f t="shared" si="130"/>
        <v>다인승</v>
      </c>
      <c r="AT143" s="279" t="str">
        <f t="shared" si="213"/>
        <v>7급</v>
      </c>
      <c r="AU143" s="279" t="str">
        <f t="shared" si="214"/>
        <v>05:소하리</v>
      </c>
      <c r="AV143" s="279">
        <f t="shared" si="150"/>
        <v>2500</v>
      </c>
      <c r="AW143" s="279" t="str">
        <f t="shared" si="215"/>
        <v>D</v>
      </c>
      <c r="AX143" s="279" t="str">
        <f t="shared" si="216"/>
        <v>전략P</v>
      </c>
      <c r="AY143" s="468">
        <v>0.03</v>
      </c>
      <c r="AZ143" s="468"/>
      <c r="BA143" s="279" t="s">
        <v>1685</v>
      </c>
      <c r="BB143" s="279" t="s">
        <v>1648</v>
      </c>
      <c r="BC143" s="279"/>
      <c r="BD143" s="279" t="s">
        <v>1184</v>
      </c>
      <c r="BE143" s="279" t="str">
        <f t="shared" si="149"/>
        <v>기아</v>
      </c>
      <c r="BF143" s="581">
        <v>4.1000000000000002E-2</v>
      </c>
      <c r="BG143" s="281">
        <v>0</v>
      </c>
      <c r="BH143" s="281">
        <v>0</v>
      </c>
      <c r="BI143" s="279"/>
      <c r="BJ143" s="279"/>
      <c r="BK143" s="279"/>
      <c r="BL143" s="279"/>
      <c r="BM143" s="279" t="s">
        <v>1548</v>
      </c>
      <c r="BN143" s="279"/>
      <c r="BO143" s="279"/>
      <c r="BP143" s="500">
        <f t="shared" si="147"/>
        <v>6.2E-2</v>
      </c>
      <c r="BQ143" s="973">
        <f t="shared" si="148"/>
        <v>5.5E-2</v>
      </c>
    </row>
    <row r="144" spans="1:69" s="460" customFormat="1" ht="15" customHeight="1">
      <c r="A144" s="281">
        <v>130</v>
      </c>
      <c r="B144" s="279">
        <v>456386218</v>
      </c>
      <c r="C144" s="279" t="s">
        <v>521</v>
      </c>
      <c r="D144" s="279" t="s">
        <v>528</v>
      </c>
      <c r="E144" s="279" t="s">
        <v>482</v>
      </c>
      <c r="F144" s="279" t="s">
        <v>474</v>
      </c>
      <c r="G144" s="279">
        <v>35060000</v>
      </c>
      <c r="H144" s="279">
        <v>2497</v>
      </c>
      <c r="I144" s="279">
        <v>0</v>
      </c>
      <c r="J144" s="279">
        <v>5</v>
      </c>
      <c r="K144" s="279" t="s">
        <v>475</v>
      </c>
      <c r="L144" s="279">
        <v>0</v>
      </c>
      <c r="M144" s="279" t="s">
        <v>111</v>
      </c>
      <c r="N144" s="279" t="s">
        <v>522</v>
      </c>
      <c r="O144" s="279" t="s">
        <v>1180</v>
      </c>
      <c r="P144" s="279" t="s">
        <v>121</v>
      </c>
      <c r="Q144" s="279" t="s">
        <v>1384</v>
      </c>
      <c r="R144" s="279" t="s">
        <v>1178</v>
      </c>
      <c r="S144" s="279">
        <v>0</v>
      </c>
      <c r="T144" s="279">
        <v>10.8</v>
      </c>
      <c r="U144" s="279" t="s">
        <v>506</v>
      </c>
      <c r="V144" s="279" t="s">
        <v>506</v>
      </c>
      <c r="W144" s="279" t="s">
        <v>473</v>
      </c>
      <c r="X144" s="279" t="s">
        <v>484</v>
      </c>
      <c r="Y144" s="279"/>
      <c r="Z144" s="279"/>
      <c r="AA144" s="279"/>
      <c r="AB144" s="279" t="s">
        <v>20</v>
      </c>
      <c r="AC144" s="279" t="s">
        <v>490</v>
      </c>
      <c r="AD144" s="279" t="s">
        <v>491</v>
      </c>
      <c r="AE144" s="279">
        <v>86218</v>
      </c>
      <c r="AF144" s="279" t="s">
        <v>473</v>
      </c>
      <c r="AG144" s="279"/>
      <c r="AH144" s="279"/>
      <c r="AI144" s="279">
        <v>20230824</v>
      </c>
      <c r="AJ144" s="462" t="s">
        <v>937</v>
      </c>
      <c r="AK144" s="279"/>
      <c r="AL144" s="279" t="str">
        <f>IF(AB144="Y","단종모델",LEFT(N144,3)&amp;IFERROR(VLOOKUP(LEFT(N144,3)&amp;P144,#REF!,2,0),""))</f>
        <v>KIA</v>
      </c>
      <c r="AM144" s="469" t="str">
        <f t="shared" ref="AM144:AM172" si="225">O144&amp;" "&amp;Q144&amp;" "&amp;R144</f>
        <v>더 뉴 쏘렌토 가솔린 터보 2.5 2WD 5인승</v>
      </c>
      <c r="AN144" s="279">
        <f t="shared" ref="AN144:AN161" si="226">G144</f>
        <v>35060000</v>
      </c>
      <c r="AO144" s="279">
        <f t="shared" ref="AO144:AO161" si="227">H144</f>
        <v>2497</v>
      </c>
      <c r="AP144" s="279" t="str">
        <f t="shared" ref="AP144:AP161" si="228">LEFT(K144,1)</f>
        <v>M</v>
      </c>
      <c r="AQ144" s="279">
        <f t="shared" ref="AQ144:AQ161" si="229">J144</f>
        <v>5</v>
      </c>
      <c r="AR144" s="279" t="str">
        <f t="shared" ref="AR144:AR161" si="230">RIGHT(D144,2)</f>
        <v>RV</v>
      </c>
      <c r="AS144" s="279" t="str">
        <f t="shared" ref="AS144:AS161" si="231">MID(W144,4,3)</f>
        <v>승용</v>
      </c>
      <c r="AT144" s="279" t="str">
        <f t="shared" si="213"/>
        <v>7급</v>
      </c>
      <c r="AU144" s="279" t="str">
        <f t="shared" si="214"/>
        <v>06:화성</v>
      </c>
      <c r="AV144" s="279">
        <f t="shared" si="150"/>
        <v>1900</v>
      </c>
      <c r="AW144" s="279" t="str">
        <f t="shared" si="215"/>
        <v>D</v>
      </c>
      <c r="AX144" s="279" t="str">
        <f t="shared" si="216"/>
        <v>전략P</v>
      </c>
      <c r="AY144" s="468">
        <v>0.03</v>
      </c>
      <c r="AZ144" s="468"/>
      <c r="BA144" s="279" t="s">
        <v>1549</v>
      </c>
      <c r="BB144" s="279" t="s">
        <v>1649</v>
      </c>
      <c r="BC144" s="279"/>
      <c r="BD144" s="279" t="s">
        <v>1184</v>
      </c>
      <c r="BE144" s="279" t="str">
        <f t="shared" si="149"/>
        <v>기아</v>
      </c>
      <c r="BF144" s="581">
        <v>4.1000000000000002E-2</v>
      </c>
      <c r="BG144" s="281">
        <v>0</v>
      </c>
      <c r="BH144" s="281">
        <v>216000</v>
      </c>
      <c r="BI144" s="279"/>
      <c r="BJ144" s="279"/>
      <c r="BK144" s="279"/>
      <c r="BL144" s="279"/>
      <c r="BM144" s="279" t="s">
        <v>1548</v>
      </c>
      <c r="BN144" s="279"/>
      <c r="BO144" s="279"/>
      <c r="BP144" s="500">
        <f t="shared" si="147"/>
        <v>6.2E-2</v>
      </c>
      <c r="BQ144" s="973">
        <f t="shared" si="148"/>
        <v>5.5E-2</v>
      </c>
    </row>
    <row r="145" spans="1:69" s="460" customFormat="1" ht="15" customHeight="1">
      <c r="A145" s="281">
        <v>131</v>
      </c>
      <c r="B145" s="279">
        <v>456386219</v>
      </c>
      <c r="C145" s="279" t="s">
        <v>521</v>
      </c>
      <c r="D145" s="279" t="s">
        <v>528</v>
      </c>
      <c r="E145" s="279" t="s">
        <v>482</v>
      </c>
      <c r="F145" s="279" t="s">
        <v>474</v>
      </c>
      <c r="G145" s="279">
        <v>35900000</v>
      </c>
      <c r="H145" s="279">
        <v>2497</v>
      </c>
      <c r="I145" s="279">
        <v>0</v>
      </c>
      <c r="J145" s="279">
        <v>6</v>
      </c>
      <c r="K145" s="279" t="s">
        <v>475</v>
      </c>
      <c r="L145" s="279">
        <v>0</v>
      </c>
      <c r="M145" s="279" t="s">
        <v>111</v>
      </c>
      <c r="N145" s="279" t="s">
        <v>522</v>
      </c>
      <c r="O145" s="279" t="s">
        <v>1177</v>
      </c>
      <c r="P145" s="279" t="s">
        <v>121</v>
      </c>
      <c r="Q145" s="279" t="s">
        <v>1384</v>
      </c>
      <c r="R145" s="279" t="s">
        <v>1016</v>
      </c>
      <c r="S145" s="279">
        <v>0</v>
      </c>
      <c r="T145" s="279">
        <v>10.8</v>
      </c>
      <c r="U145" s="279" t="s">
        <v>506</v>
      </c>
      <c r="V145" s="279" t="s">
        <v>506</v>
      </c>
      <c r="W145" s="279" t="s">
        <v>473</v>
      </c>
      <c r="X145" s="279" t="s">
        <v>484</v>
      </c>
      <c r="Y145" s="279"/>
      <c r="Z145" s="279"/>
      <c r="AA145" s="279"/>
      <c r="AB145" s="279" t="s">
        <v>20</v>
      </c>
      <c r="AC145" s="279" t="s">
        <v>490</v>
      </c>
      <c r="AD145" s="279" t="s">
        <v>491</v>
      </c>
      <c r="AE145" s="279">
        <v>86219</v>
      </c>
      <c r="AF145" s="279" t="s">
        <v>473</v>
      </c>
      <c r="AG145" s="279"/>
      <c r="AH145" s="279"/>
      <c r="AI145" s="279">
        <v>20230824</v>
      </c>
      <c r="AJ145" s="462" t="s">
        <v>937</v>
      </c>
      <c r="AK145" s="279"/>
      <c r="AL145" s="279" t="str">
        <f>IF(AB145="Y","단종모델",LEFT(N145,3)&amp;IFERROR(VLOOKUP(LEFT(N145,3)&amp;P145,#REF!,2,0),""))</f>
        <v>KIA</v>
      </c>
      <c r="AM145" s="469" t="str">
        <f t="shared" si="225"/>
        <v>더 뉴 쏘렌토 가솔린 터보 2.5 2WD 6인승</v>
      </c>
      <c r="AN145" s="279">
        <f t="shared" si="226"/>
        <v>35900000</v>
      </c>
      <c r="AO145" s="279">
        <f t="shared" si="227"/>
        <v>2497</v>
      </c>
      <c r="AP145" s="279" t="str">
        <f t="shared" si="228"/>
        <v>M</v>
      </c>
      <c r="AQ145" s="279">
        <f t="shared" si="229"/>
        <v>6</v>
      </c>
      <c r="AR145" s="279" t="str">
        <f t="shared" si="230"/>
        <v>RV</v>
      </c>
      <c r="AS145" s="279" t="str">
        <f t="shared" si="231"/>
        <v>승용</v>
      </c>
      <c r="AT145" s="279" t="str">
        <f t="shared" si="213"/>
        <v>7급</v>
      </c>
      <c r="AU145" s="279" t="str">
        <f t="shared" si="214"/>
        <v>06:화성</v>
      </c>
      <c r="AV145" s="279">
        <f t="shared" si="150"/>
        <v>1900</v>
      </c>
      <c r="AW145" s="279" t="str">
        <f t="shared" si="215"/>
        <v>D</v>
      </c>
      <c r="AX145" s="279" t="str">
        <f t="shared" si="216"/>
        <v>전략P</v>
      </c>
      <c r="AY145" s="468">
        <v>0.03</v>
      </c>
      <c r="AZ145" s="468"/>
      <c r="BA145" s="279" t="s">
        <v>1549</v>
      </c>
      <c r="BB145" s="279" t="s">
        <v>1649</v>
      </c>
      <c r="BC145" s="279"/>
      <c r="BD145" s="279" t="s">
        <v>1184</v>
      </c>
      <c r="BE145" s="279" t="str">
        <f t="shared" si="149"/>
        <v>기아</v>
      </c>
      <c r="BF145" s="581">
        <v>4.1000000000000002E-2</v>
      </c>
      <c r="BG145" s="281">
        <v>0</v>
      </c>
      <c r="BH145" s="281">
        <v>216000</v>
      </c>
      <c r="BI145" s="279"/>
      <c r="BJ145" s="279"/>
      <c r="BK145" s="279"/>
      <c r="BL145" s="279"/>
      <c r="BM145" s="279" t="s">
        <v>1548</v>
      </c>
      <c r="BN145" s="279"/>
      <c r="BO145" s="279"/>
      <c r="BP145" s="500">
        <f t="shared" si="147"/>
        <v>6.2E-2</v>
      </c>
      <c r="BQ145" s="973">
        <f t="shared" si="148"/>
        <v>5.5E-2</v>
      </c>
    </row>
    <row r="146" spans="1:69" s="460" customFormat="1" ht="15" customHeight="1">
      <c r="A146" s="281">
        <v>132</v>
      </c>
      <c r="B146" s="279">
        <v>456386220</v>
      </c>
      <c r="C146" s="279" t="s">
        <v>521</v>
      </c>
      <c r="D146" s="279" t="s">
        <v>528</v>
      </c>
      <c r="E146" s="279" t="s">
        <v>482</v>
      </c>
      <c r="F146" s="279" t="s">
        <v>474</v>
      </c>
      <c r="G146" s="279">
        <v>35750000</v>
      </c>
      <c r="H146" s="279">
        <v>2497</v>
      </c>
      <c r="I146" s="279">
        <v>0</v>
      </c>
      <c r="J146" s="279">
        <v>7</v>
      </c>
      <c r="K146" s="279" t="s">
        <v>475</v>
      </c>
      <c r="L146" s="279">
        <v>0</v>
      </c>
      <c r="M146" s="279" t="s">
        <v>111</v>
      </c>
      <c r="N146" s="279" t="s">
        <v>522</v>
      </c>
      <c r="O146" s="279" t="s">
        <v>1177</v>
      </c>
      <c r="P146" s="279" t="s">
        <v>121</v>
      </c>
      <c r="Q146" s="279" t="s">
        <v>1384</v>
      </c>
      <c r="R146" s="279" t="s">
        <v>1014</v>
      </c>
      <c r="S146" s="279">
        <v>0</v>
      </c>
      <c r="T146" s="279">
        <v>10.8</v>
      </c>
      <c r="U146" s="279" t="s">
        <v>506</v>
      </c>
      <c r="V146" s="279" t="s">
        <v>506</v>
      </c>
      <c r="W146" s="279" t="s">
        <v>507</v>
      </c>
      <c r="X146" s="279" t="s">
        <v>484</v>
      </c>
      <c r="Y146" s="279"/>
      <c r="Z146" s="279"/>
      <c r="AA146" s="279"/>
      <c r="AB146" s="279" t="s">
        <v>20</v>
      </c>
      <c r="AC146" s="279" t="s">
        <v>490</v>
      </c>
      <c r="AD146" s="279" t="s">
        <v>491</v>
      </c>
      <c r="AE146" s="279">
        <v>86220</v>
      </c>
      <c r="AF146" s="279" t="s">
        <v>507</v>
      </c>
      <c r="AG146" s="279"/>
      <c r="AH146" s="279"/>
      <c r="AI146" s="279">
        <v>20230824</v>
      </c>
      <c r="AJ146" s="462" t="s">
        <v>937</v>
      </c>
      <c r="AK146" s="279"/>
      <c r="AL146" s="279" t="str">
        <f>IF(AB146="Y","단종모델",LEFT(N146,3)&amp;IFERROR(VLOOKUP(LEFT(N146,3)&amp;P146,#REF!,2,0),""))</f>
        <v>KIA</v>
      </c>
      <c r="AM146" s="469" t="str">
        <f t="shared" si="225"/>
        <v>더 뉴 쏘렌토 가솔린 터보 2.5 2WD 7인승</v>
      </c>
      <c r="AN146" s="279">
        <f t="shared" si="226"/>
        <v>35750000</v>
      </c>
      <c r="AO146" s="279">
        <f t="shared" si="227"/>
        <v>2497</v>
      </c>
      <c r="AP146" s="279" t="str">
        <f t="shared" si="228"/>
        <v>M</v>
      </c>
      <c r="AQ146" s="279">
        <f t="shared" si="229"/>
        <v>7</v>
      </c>
      <c r="AR146" s="279" t="str">
        <f t="shared" si="230"/>
        <v>RV</v>
      </c>
      <c r="AS146" s="279" t="str">
        <f t="shared" si="231"/>
        <v>다인승</v>
      </c>
      <c r="AT146" s="279" t="str">
        <f t="shared" si="213"/>
        <v>7급</v>
      </c>
      <c r="AU146" s="279" t="str">
        <f t="shared" si="214"/>
        <v>06:화성</v>
      </c>
      <c r="AV146" s="279">
        <f t="shared" si="150"/>
        <v>2500</v>
      </c>
      <c r="AW146" s="279" t="str">
        <f t="shared" si="215"/>
        <v>D</v>
      </c>
      <c r="AX146" s="279" t="str">
        <f t="shared" si="216"/>
        <v>전략P</v>
      </c>
      <c r="AY146" s="468">
        <v>0.03</v>
      </c>
      <c r="AZ146" s="468"/>
      <c r="BA146" s="279" t="s">
        <v>1549</v>
      </c>
      <c r="BB146" s="279" t="s">
        <v>1649</v>
      </c>
      <c r="BC146" s="279"/>
      <c r="BD146" s="279" t="s">
        <v>1184</v>
      </c>
      <c r="BE146" s="279" t="str">
        <f t="shared" si="149"/>
        <v>기아</v>
      </c>
      <c r="BF146" s="581">
        <v>4.1000000000000002E-2</v>
      </c>
      <c r="BG146" s="281">
        <v>0</v>
      </c>
      <c r="BH146" s="281">
        <v>216000</v>
      </c>
      <c r="BI146" s="279"/>
      <c r="BJ146" s="279"/>
      <c r="BK146" s="279"/>
      <c r="BL146" s="279"/>
      <c r="BM146" s="279" t="s">
        <v>1548</v>
      </c>
      <c r="BN146" s="279"/>
      <c r="BO146" s="279"/>
      <c r="BP146" s="500">
        <f t="shared" si="147"/>
        <v>6.2E-2</v>
      </c>
      <c r="BQ146" s="973">
        <f t="shared" si="148"/>
        <v>5.5E-2</v>
      </c>
    </row>
    <row r="147" spans="1:69" s="460" customFormat="1" ht="15" customHeight="1">
      <c r="A147" s="281">
        <v>133</v>
      </c>
      <c r="B147" s="279">
        <v>456386332</v>
      </c>
      <c r="C147" s="279" t="s">
        <v>521</v>
      </c>
      <c r="D147" s="279" t="s">
        <v>528</v>
      </c>
      <c r="E147" s="279" t="s">
        <v>482</v>
      </c>
      <c r="F147" s="279" t="s">
        <v>474</v>
      </c>
      <c r="G147" s="279">
        <v>37380000</v>
      </c>
      <c r="H147" s="279">
        <v>2497</v>
      </c>
      <c r="I147" s="279">
        <v>0</v>
      </c>
      <c r="J147" s="279">
        <v>5</v>
      </c>
      <c r="K147" s="279" t="s">
        <v>475</v>
      </c>
      <c r="L147" s="279">
        <v>0</v>
      </c>
      <c r="M147" s="279" t="s">
        <v>111</v>
      </c>
      <c r="N147" s="279" t="s">
        <v>522</v>
      </c>
      <c r="O147" s="279" t="s">
        <v>1177</v>
      </c>
      <c r="P147" s="279" t="s">
        <v>121</v>
      </c>
      <c r="Q147" s="279" t="s">
        <v>1385</v>
      </c>
      <c r="R147" s="279" t="s">
        <v>1015</v>
      </c>
      <c r="S147" s="279">
        <v>0</v>
      </c>
      <c r="T147" s="279">
        <v>9.9</v>
      </c>
      <c r="U147" s="279" t="s">
        <v>506</v>
      </c>
      <c r="V147" s="279" t="s">
        <v>506</v>
      </c>
      <c r="W147" s="279" t="s">
        <v>473</v>
      </c>
      <c r="X147" s="279" t="s">
        <v>484</v>
      </c>
      <c r="Y147" s="279"/>
      <c r="Z147" s="279"/>
      <c r="AA147" s="279"/>
      <c r="AB147" s="279" t="s">
        <v>20</v>
      </c>
      <c r="AC147" s="279" t="s">
        <v>490</v>
      </c>
      <c r="AD147" s="279" t="s">
        <v>491</v>
      </c>
      <c r="AE147" s="279">
        <v>86332</v>
      </c>
      <c r="AF147" s="279" t="s">
        <v>473</v>
      </c>
      <c r="AG147" s="279"/>
      <c r="AH147" s="279"/>
      <c r="AI147" s="279">
        <v>20230824</v>
      </c>
      <c r="AJ147" s="462" t="s">
        <v>937</v>
      </c>
      <c r="AK147" s="279"/>
      <c r="AL147" s="279" t="str">
        <f>IF(AB147="Y","단종모델",LEFT(N147,3)&amp;IFERROR(VLOOKUP(LEFT(N147,3)&amp;P147,#REF!,2,0),""))</f>
        <v>KIA</v>
      </c>
      <c r="AM147" s="469" t="str">
        <f t="shared" si="225"/>
        <v>더 뉴 쏘렌토 가솔린 터보 2.5 4WD 5인승</v>
      </c>
      <c r="AN147" s="279">
        <f t="shared" si="226"/>
        <v>37380000</v>
      </c>
      <c r="AO147" s="279">
        <f t="shared" si="227"/>
        <v>2497</v>
      </c>
      <c r="AP147" s="279" t="str">
        <f t="shared" si="228"/>
        <v>M</v>
      </c>
      <c r="AQ147" s="279">
        <f t="shared" si="229"/>
        <v>5</v>
      </c>
      <c r="AR147" s="279" t="str">
        <f t="shared" si="230"/>
        <v>RV</v>
      </c>
      <c r="AS147" s="279" t="str">
        <f t="shared" si="231"/>
        <v>승용</v>
      </c>
      <c r="AT147" s="279" t="str">
        <f t="shared" si="213"/>
        <v>7급</v>
      </c>
      <c r="AU147" s="279" t="str">
        <f t="shared" si="214"/>
        <v>06:화성</v>
      </c>
      <c r="AV147" s="279">
        <f t="shared" si="150"/>
        <v>1900</v>
      </c>
      <c r="AW147" s="279" t="str">
        <f t="shared" si="215"/>
        <v>D</v>
      </c>
      <c r="AX147" s="279" t="str">
        <f t="shared" si="216"/>
        <v>전략P</v>
      </c>
      <c r="AY147" s="468">
        <v>0.03</v>
      </c>
      <c r="AZ147" s="468"/>
      <c r="BA147" s="279" t="s">
        <v>1549</v>
      </c>
      <c r="BB147" s="279" t="s">
        <v>1649</v>
      </c>
      <c r="BC147" s="279"/>
      <c r="BD147" s="279" t="s">
        <v>1184</v>
      </c>
      <c r="BE147" s="279" t="str">
        <f t="shared" si="149"/>
        <v>기아</v>
      </c>
      <c r="BF147" s="581">
        <v>4.1000000000000002E-2</v>
      </c>
      <c r="BG147" s="281">
        <v>0</v>
      </c>
      <c r="BH147" s="281">
        <v>216000</v>
      </c>
      <c r="BI147" s="279"/>
      <c r="BJ147" s="279"/>
      <c r="BK147" s="279"/>
      <c r="BL147" s="279"/>
      <c r="BM147" s="279" t="s">
        <v>1548</v>
      </c>
      <c r="BN147" s="279"/>
      <c r="BO147" s="279"/>
      <c r="BP147" s="500">
        <f t="shared" si="147"/>
        <v>6.2E-2</v>
      </c>
      <c r="BQ147" s="973">
        <f t="shared" si="148"/>
        <v>5.5E-2</v>
      </c>
    </row>
    <row r="148" spans="1:69" s="460" customFormat="1" ht="15" customHeight="1">
      <c r="A148" s="281">
        <v>134</v>
      </c>
      <c r="B148" s="279">
        <v>456386333</v>
      </c>
      <c r="C148" s="279" t="s">
        <v>521</v>
      </c>
      <c r="D148" s="279" t="s">
        <v>528</v>
      </c>
      <c r="E148" s="279" t="s">
        <v>482</v>
      </c>
      <c r="F148" s="279" t="s">
        <v>474</v>
      </c>
      <c r="G148" s="279">
        <v>38220000</v>
      </c>
      <c r="H148" s="279">
        <v>2497</v>
      </c>
      <c r="I148" s="279">
        <v>0</v>
      </c>
      <c r="J148" s="279">
        <v>6</v>
      </c>
      <c r="K148" s="279" t="s">
        <v>475</v>
      </c>
      <c r="L148" s="279">
        <v>0</v>
      </c>
      <c r="M148" s="279" t="s">
        <v>111</v>
      </c>
      <c r="N148" s="279" t="s">
        <v>522</v>
      </c>
      <c r="O148" s="279" t="s">
        <v>1177</v>
      </c>
      <c r="P148" s="279" t="s">
        <v>121</v>
      </c>
      <c r="Q148" s="279" t="s">
        <v>1385</v>
      </c>
      <c r="R148" s="279" t="s">
        <v>1016</v>
      </c>
      <c r="S148" s="279">
        <v>0</v>
      </c>
      <c r="T148" s="279">
        <v>9.8000000000000007</v>
      </c>
      <c r="U148" s="279" t="s">
        <v>506</v>
      </c>
      <c r="V148" s="279" t="s">
        <v>506</v>
      </c>
      <c r="W148" s="279" t="s">
        <v>473</v>
      </c>
      <c r="X148" s="279" t="s">
        <v>484</v>
      </c>
      <c r="Y148" s="279"/>
      <c r="Z148" s="279"/>
      <c r="AA148" s="279"/>
      <c r="AB148" s="279" t="s">
        <v>20</v>
      </c>
      <c r="AC148" s="279" t="s">
        <v>490</v>
      </c>
      <c r="AD148" s="279" t="s">
        <v>491</v>
      </c>
      <c r="AE148" s="279">
        <v>86333</v>
      </c>
      <c r="AF148" s="279" t="s">
        <v>473</v>
      </c>
      <c r="AG148" s="279"/>
      <c r="AH148" s="279"/>
      <c r="AI148" s="279">
        <v>20230824</v>
      </c>
      <c r="AJ148" s="462" t="s">
        <v>937</v>
      </c>
      <c r="AK148" s="279"/>
      <c r="AL148" s="279" t="str">
        <f>IF(AB148="Y","단종모델",LEFT(N148,3)&amp;IFERROR(VLOOKUP(LEFT(N148,3)&amp;P148,#REF!,2,0),""))</f>
        <v>KIA</v>
      </c>
      <c r="AM148" s="469" t="str">
        <f t="shared" si="225"/>
        <v>더 뉴 쏘렌토 가솔린 터보 2.5 4WD 6인승</v>
      </c>
      <c r="AN148" s="279">
        <f t="shared" si="226"/>
        <v>38220000</v>
      </c>
      <c r="AO148" s="279">
        <f t="shared" si="227"/>
        <v>2497</v>
      </c>
      <c r="AP148" s="279" t="str">
        <f t="shared" si="228"/>
        <v>M</v>
      </c>
      <c r="AQ148" s="279">
        <f t="shared" si="229"/>
        <v>6</v>
      </c>
      <c r="AR148" s="279" t="str">
        <f t="shared" si="230"/>
        <v>RV</v>
      </c>
      <c r="AS148" s="279" t="str">
        <f t="shared" si="231"/>
        <v>승용</v>
      </c>
      <c r="AT148" s="279" t="str">
        <f t="shared" si="213"/>
        <v>7급</v>
      </c>
      <c r="AU148" s="279" t="str">
        <f t="shared" si="214"/>
        <v>06:화성</v>
      </c>
      <c r="AV148" s="279">
        <f t="shared" si="150"/>
        <v>1900</v>
      </c>
      <c r="AW148" s="279" t="str">
        <f t="shared" si="215"/>
        <v>D</v>
      </c>
      <c r="AX148" s="279" t="str">
        <f t="shared" si="216"/>
        <v>전략P</v>
      </c>
      <c r="AY148" s="468">
        <v>0.03</v>
      </c>
      <c r="AZ148" s="468"/>
      <c r="BA148" s="279" t="s">
        <v>1549</v>
      </c>
      <c r="BB148" s="279" t="s">
        <v>1649</v>
      </c>
      <c r="BC148" s="279"/>
      <c r="BD148" s="279" t="s">
        <v>1184</v>
      </c>
      <c r="BE148" s="279" t="str">
        <f t="shared" si="149"/>
        <v>기아</v>
      </c>
      <c r="BF148" s="581">
        <v>4.1000000000000002E-2</v>
      </c>
      <c r="BG148" s="281">
        <v>0</v>
      </c>
      <c r="BH148" s="281">
        <v>216000</v>
      </c>
      <c r="BI148" s="279"/>
      <c r="BJ148" s="279"/>
      <c r="BK148" s="279"/>
      <c r="BL148" s="279"/>
      <c r="BM148" s="279" t="s">
        <v>1548</v>
      </c>
      <c r="BN148" s="279"/>
      <c r="BO148" s="279"/>
      <c r="BP148" s="500">
        <f t="shared" si="147"/>
        <v>6.2E-2</v>
      </c>
      <c r="BQ148" s="973">
        <f t="shared" si="148"/>
        <v>5.5E-2</v>
      </c>
    </row>
    <row r="149" spans="1:69" s="460" customFormat="1" ht="15" customHeight="1">
      <c r="A149" s="281">
        <v>135</v>
      </c>
      <c r="B149" s="279">
        <v>456386334</v>
      </c>
      <c r="C149" s="279" t="s">
        <v>521</v>
      </c>
      <c r="D149" s="279" t="s">
        <v>528</v>
      </c>
      <c r="E149" s="279" t="s">
        <v>482</v>
      </c>
      <c r="F149" s="279" t="s">
        <v>474</v>
      </c>
      <c r="G149" s="279">
        <v>38070000</v>
      </c>
      <c r="H149" s="279">
        <v>2497</v>
      </c>
      <c r="I149" s="279">
        <v>0</v>
      </c>
      <c r="J149" s="279">
        <v>7</v>
      </c>
      <c r="K149" s="279" t="s">
        <v>475</v>
      </c>
      <c r="L149" s="279">
        <v>0</v>
      </c>
      <c r="M149" s="279" t="s">
        <v>111</v>
      </c>
      <c r="N149" s="279" t="s">
        <v>522</v>
      </c>
      <c r="O149" s="279" t="s">
        <v>1177</v>
      </c>
      <c r="P149" s="279" t="s">
        <v>121</v>
      </c>
      <c r="Q149" s="279" t="s">
        <v>1385</v>
      </c>
      <c r="R149" s="279" t="s">
        <v>1014</v>
      </c>
      <c r="S149" s="279">
        <v>0</v>
      </c>
      <c r="T149" s="279">
        <v>9.8000000000000007</v>
      </c>
      <c r="U149" s="279" t="s">
        <v>506</v>
      </c>
      <c r="V149" s="279" t="s">
        <v>506</v>
      </c>
      <c r="W149" s="279" t="s">
        <v>507</v>
      </c>
      <c r="X149" s="279" t="s">
        <v>484</v>
      </c>
      <c r="Y149" s="279"/>
      <c r="Z149" s="279"/>
      <c r="AA149" s="279"/>
      <c r="AB149" s="279" t="s">
        <v>20</v>
      </c>
      <c r="AC149" s="279" t="s">
        <v>490</v>
      </c>
      <c r="AD149" s="279" t="s">
        <v>491</v>
      </c>
      <c r="AE149" s="279">
        <v>86334</v>
      </c>
      <c r="AF149" s="279" t="s">
        <v>507</v>
      </c>
      <c r="AG149" s="279"/>
      <c r="AH149" s="279"/>
      <c r="AI149" s="279">
        <v>20230824</v>
      </c>
      <c r="AJ149" s="462" t="s">
        <v>937</v>
      </c>
      <c r="AK149" s="279"/>
      <c r="AL149" s="279" t="str">
        <f>IF(AB149="Y","단종모델",LEFT(N149,3)&amp;IFERROR(VLOOKUP(LEFT(N149,3)&amp;P149,#REF!,2,0),""))</f>
        <v>KIA</v>
      </c>
      <c r="AM149" s="469" t="str">
        <f t="shared" si="225"/>
        <v>더 뉴 쏘렌토 가솔린 터보 2.5 4WD 7인승</v>
      </c>
      <c r="AN149" s="279">
        <f t="shared" si="226"/>
        <v>38070000</v>
      </c>
      <c r="AO149" s="279">
        <f t="shared" si="227"/>
        <v>2497</v>
      </c>
      <c r="AP149" s="279" t="str">
        <f t="shared" si="228"/>
        <v>M</v>
      </c>
      <c r="AQ149" s="279">
        <f t="shared" si="229"/>
        <v>7</v>
      </c>
      <c r="AR149" s="279" t="str">
        <f t="shared" si="230"/>
        <v>RV</v>
      </c>
      <c r="AS149" s="279" t="str">
        <f t="shared" si="231"/>
        <v>다인승</v>
      </c>
      <c r="AT149" s="279" t="str">
        <f t="shared" si="213"/>
        <v>7급</v>
      </c>
      <c r="AU149" s="279" t="str">
        <f t="shared" si="214"/>
        <v>06:화성</v>
      </c>
      <c r="AV149" s="279">
        <f t="shared" si="150"/>
        <v>2500</v>
      </c>
      <c r="AW149" s="279" t="str">
        <f t="shared" si="215"/>
        <v>D</v>
      </c>
      <c r="AX149" s="279" t="str">
        <f t="shared" si="216"/>
        <v>전략P</v>
      </c>
      <c r="AY149" s="468">
        <v>0.03</v>
      </c>
      <c r="AZ149" s="468"/>
      <c r="BA149" s="279" t="s">
        <v>1549</v>
      </c>
      <c r="BB149" s="279" t="s">
        <v>1649</v>
      </c>
      <c r="BC149" s="279"/>
      <c r="BD149" s="279" t="s">
        <v>1184</v>
      </c>
      <c r="BE149" s="279" t="str">
        <f t="shared" ref="BE149:BE211" si="232">M149</f>
        <v>기아</v>
      </c>
      <c r="BF149" s="581">
        <v>4.1000000000000002E-2</v>
      </c>
      <c r="BG149" s="281">
        <v>0</v>
      </c>
      <c r="BH149" s="281">
        <v>216000</v>
      </c>
      <c r="BI149" s="279"/>
      <c r="BJ149" s="279"/>
      <c r="BK149" s="279"/>
      <c r="BL149" s="279"/>
      <c r="BM149" s="279" t="s">
        <v>1548</v>
      </c>
      <c r="BN149" s="279"/>
      <c r="BO149" s="279"/>
      <c r="BP149" s="500">
        <f t="shared" ref="BP149:BP209" si="233">IF(AJ149="전략P",0.062,IF(AJ149="전략",0.068,IF(AND(AJ149="전기",LEFT(AM149,2)="레이"),0.145,IF(AJ149="전기",0.065,IF(LEFT(AM149,3)="캐스퍼",0.093,IF(H149&lt;1000,0.145,0.093))))))-IF(BO149&gt;0,BO149%,0%)</f>
        <v>6.2E-2</v>
      </c>
      <c r="BQ149" s="973">
        <f t="shared" si="148"/>
        <v>5.5E-2</v>
      </c>
    </row>
    <row r="150" spans="1:69" s="460" customFormat="1" ht="15" customHeight="1">
      <c r="A150" s="281">
        <v>136</v>
      </c>
      <c r="B150" s="279">
        <v>456386344</v>
      </c>
      <c r="C150" s="279" t="s">
        <v>521</v>
      </c>
      <c r="D150" s="279" t="s">
        <v>528</v>
      </c>
      <c r="E150" s="279" t="s">
        <v>482</v>
      </c>
      <c r="F150" s="279" t="s">
        <v>474</v>
      </c>
      <c r="G150" s="279">
        <v>36790000</v>
      </c>
      <c r="H150" s="279">
        <v>2151</v>
      </c>
      <c r="I150" s="279">
        <v>0</v>
      </c>
      <c r="J150" s="279">
        <v>5</v>
      </c>
      <c r="K150" s="279" t="s">
        <v>481</v>
      </c>
      <c r="L150" s="279">
        <v>0</v>
      </c>
      <c r="M150" s="279" t="s">
        <v>111</v>
      </c>
      <c r="N150" s="279" t="s">
        <v>522</v>
      </c>
      <c r="O150" s="279" t="s">
        <v>1177</v>
      </c>
      <c r="P150" s="279" t="s">
        <v>121</v>
      </c>
      <c r="Q150" s="279" t="s">
        <v>1386</v>
      </c>
      <c r="R150" s="279" t="s">
        <v>1015</v>
      </c>
      <c r="S150" s="279">
        <v>0</v>
      </c>
      <c r="T150" s="279">
        <v>14.3</v>
      </c>
      <c r="U150" s="279" t="s">
        <v>506</v>
      </c>
      <c r="V150" s="279" t="s">
        <v>506</v>
      </c>
      <c r="W150" s="279" t="s">
        <v>473</v>
      </c>
      <c r="X150" s="279" t="s">
        <v>484</v>
      </c>
      <c r="Y150" s="279"/>
      <c r="Z150" s="279"/>
      <c r="AA150" s="279"/>
      <c r="AB150" s="279" t="s">
        <v>20</v>
      </c>
      <c r="AC150" s="279" t="s">
        <v>490</v>
      </c>
      <c r="AD150" s="279" t="s">
        <v>491</v>
      </c>
      <c r="AE150" s="279">
        <v>86344</v>
      </c>
      <c r="AF150" s="279" t="s">
        <v>473</v>
      </c>
      <c r="AG150" s="279"/>
      <c r="AH150" s="279"/>
      <c r="AI150" s="279">
        <v>20230824</v>
      </c>
      <c r="AJ150" s="462" t="s">
        <v>937</v>
      </c>
      <c r="AK150" s="279"/>
      <c r="AL150" s="279" t="str">
        <f>IF(AB150="Y","단종모델",LEFT(N150,3)&amp;IFERROR(VLOOKUP(LEFT(N150,3)&amp;P150,#REF!,2,0),""))</f>
        <v>KIA</v>
      </c>
      <c r="AM150" s="469" t="str">
        <f t="shared" si="225"/>
        <v>더 뉴 쏘렌토 디젤 2.2 2WD 5인승</v>
      </c>
      <c r="AN150" s="279">
        <f t="shared" si="226"/>
        <v>36790000</v>
      </c>
      <c r="AO150" s="279">
        <f t="shared" si="227"/>
        <v>2151</v>
      </c>
      <c r="AP150" s="279" t="str">
        <f t="shared" si="228"/>
        <v>D</v>
      </c>
      <c r="AQ150" s="279">
        <f t="shared" si="229"/>
        <v>5</v>
      </c>
      <c r="AR150" s="279" t="str">
        <f t="shared" si="230"/>
        <v>RV</v>
      </c>
      <c r="AS150" s="279" t="str">
        <f t="shared" si="231"/>
        <v>승용</v>
      </c>
      <c r="AT150" s="279" t="str">
        <f t="shared" si="213"/>
        <v>7급</v>
      </c>
      <c r="AU150" s="279" t="str">
        <f t="shared" si="214"/>
        <v>06:화성</v>
      </c>
      <c r="AV150" s="279">
        <f t="shared" si="150"/>
        <v>1900</v>
      </c>
      <c r="AW150" s="279" t="str">
        <f t="shared" si="215"/>
        <v>D</v>
      </c>
      <c r="AX150" s="279" t="str">
        <f t="shared" si="216"/>
        <v>전략P</v>
      </c>
      <c r="AY150" s="468">
        <v>0.03</v>
      </c>
      <c r="AZ150" s="468"/>
      <c r="BA150" s="279" t="s">
        <v>1553</v>
      </c>
      <c r="BB150" s="279" t="s">
        <v>1550</v>
      </c>
      <c r="BC150" s="279"/>
      <c r="BD150" s="279" t="s">
        <v>1184</v>
      </c>
      <c r="BE150" s="279" t="str">
        <f t="shared" si="232"/>
        <v>기아</v>
      </c>
      <c r="BF150" s="581">
        <v>4.1000000000000002E-2</v>
      </c>
      <c r="BG150" s="281">
        <v>0</v>
      </c>
      <c r="BH150" s="281">
        <v>216000</v>
      </c>
      <c r="BI150" s="279"/>
      <c r="BJ150" s="279"/>
      <c r="BK150" s="279"/>
      <c r="BL150" s="279"/>
      <c r="BM150" s="279" t="s">
        <v>1548</v>
      </c>
      <c r="BN150" s="279"/>
      <c r="BO150" s="279"/>
      <c r="BP150" s="500">
        <f t="shared" si="233"/>
        <v>6.2E-2</v>
      </c>
      <c r="BQ150" s="973">
        <f t="shared" si="148"/>
        <v>5.5E-2</v>
      </c>
    </row>
    <row r="151" spans="1:69" s="460" customFormat="1" ht="15" customHeight="1">
      <c r="A151" s="281">
        <v>137</v>
      </c>
      <c r="B151" s="279">
        <v>456386345</v>
      </c>
      <c r="C151" s="279" t="s">
        <v>521</v>
      </c>
      <c r="D151" s="279" t="s">
        <v>528</v>
      </c>
      <c r="E151" s="279" t="s">
        <v>482</v>
      </c>
      <c r="F151" s="279" t="s">
        <v>474</v>
      </c>
      <c r="G151" s="279">
        <v>37630000</v>
      </c>
      <c r="H151" s="279">
        <v>2151</v>
      </c>
      <c r="I151" s="279">
        <v>0</v>
      </c>
      <c r="J151" s="279">
        <v>6</v>
      </c>
      <c r="K151" s="279" t="s">
        <v>481</v>
      </c>
      <c r="L151" s="279">
        <v>0</v>
      </c>
      <c r="M151" s="279" t="s">
        <v>111</v>
      </c>
      <c r="N151" s="279" t="s">
        <v>522</v>
      </c>
      <c r="O151" s="279" t="s">
        <v>1177</v>
      </c>
      <c r="P151" s="279" t="s">
        <v>121</v>
      </c>
      <c r="Q151" s="279" t="s">
        <v>1386</v>
      </c>
      <c r="R151" s="279" t="s">
        <v>1016</v>
      </c>
      <c r="S151" s="279">
        <v>0</v>
      </c>
      <c r="T151" s="279">
        <v>13.9</v>
      </c>
      <c r="U151" s="279" t="s">
        <v>506</v>
      </c>
      <c r="V151" s="279" t="s">
        <v>506</v>
      </c>
      <c r="W151" s="279" t="s">
        <v>473</v>
      </c>
      <c r="X151" s="279" t="s">
        <v>484</v>
      </c>
      <c r="Y151" s="279"/>
      <c r="Z151" s="279"/>
      <c r="AA151" s="279"/>
      <c r="AB151" s="279" t="s">
        <v>20</v>
      </c>
      <c r="AC151" s="279" t="s">
        <v>490</v>
      </c>
      <c r="AD151" s="279" t="s">
        <v>491</v>
      </c>
      <c r="AE151" s="279">
        <v>86345</v>
      </c>
      <c r="AF151" s="279" t="s">
        <v>473</v>
      </c>
      <c r="AG151" s="279"/>
      <c r="AH151" s="279"/>
      <c r="AI151" s="279">
        <v>20230824</v>
      </c>
      <c r="AJ151" s="462" t="s">
        <v>937</v>
      </c>
      <c r="AK151" s="279"/>
      <c r="AL151" s="279" t="str">
        <f>IF(AB151="Y","단종모델",LEFT(N151,3)&amp;IFERROR(VLOOKUP(LEFT(N151,3)&amp;P151,#REF!,2,0),""))</f>
        <v>KIA</v>
      </c>
      <c r="AM151" s="469" t="str">
        <f t="shared" si="225"/>
        <v>더 뉴 쏘렌토 디젤 2.2 2WD 6인승</v>
      </c>
      <c r="AN151" s="279">
        <f t="shared" si="226"/>
        <v>37630000</v>
      </c>
      <c r="AO151" s="279">
        <f t="shared" si="227"/>
        <v>2151</v>
      </c>
      <c r="AP151" s="279" t="str">
        <f t="shared" si="228"/>
        <v>D</v>
      </c>
      <c r="AQ151" s="279">
        <f t="shared" si="229"/>
        <v>6</v>
      </c>
      <c r="AR151" s="279" t="str">
        <f t="shared" si="230"/>
        <v>RV</v>
      </c>
      <c r="AS151" s="279" t="str">
        <f t="shared" si="231"/>
        <v>승용</v>
      </c>
      <c r="AT151" s="279" t="str">
        <f t="shared" si="213"/>
        <v>7급</v>
      </c>
      <c r="AU151" s="279" t="str">
        <f t="shared" si="214"/>
        <v>06:화성</v>
      </c>
      <c r="AV151" s="279">
        <f t="shared" si="150"/>
        <v>1900</v>
      </c>
      <c r="AW151" s="279" t="str">
        <f t="shared" si="215"/>
        <v>D</v>
      </c>
      <c r="AX151" s="279" t="str">
        <f t="shared" si="216"/>
        <v>전략P</v>
      </c>
      <c r="AY151" s="468">
        <v>0.03</v>
      </c>
      <c r="AZ151" s="468"/>
      <c r="BA151" s="279" t="s">
        <v>1553</v>
      </c>
      <c r="BB151" s="279" t="s">
        <v>1550</v>
      </c>
      <c r="BC151" s="279"/>
      <c r="BD151" s="279" t="s">
        <v>1184</v>
      </c>
      <c r="BE151" s="279" t="str">
        <f t="shared" si="232"/>
        <v>기아</v>
      </c>
      <c r="BF151" s="581">
        <v>4.1000000000000002E-2</v>
      </c>
      <c r="BG151" s="281">
        <v>0</v>
      </c>
      <c r="BH151" s="281">
        <v>216000</v>
      </c>
      <c r="BI151" s="279"/>
      <c r="BJ151" s="279"/>
      <c r="BK151" s="279"/>
      <c r="BL151" s="279"/>
      <c r="BM151" s="279" t="s">
        <v>1548</v>
      </c>
      <c r="BN151" s="279"/>
      <c r="BO151" s="279"/>
      <c r="BP151" s="500">
        <f t="shared" si="233"/>
        <v>6.2E-2</v>
      </c>
      <c r="BQ151" s="973">
        <f t="shared" ref="BQ151:BQ210" si="234">BP151-0.007</f>
        <v>5.5E-2</v>
      </c>
    </row>
    <row r="152" spans="1:69" s="460" customFormat="1" ht="15" customHeight="1">
      <c r="A152" s="281">
        <v>138</v>
      </c>
      <c r="B152" s="279">
        <v>456386346</v>
      </c>
      <c r="C152" s="279" t="s">
        <v>521</v>
      </c>
      <c r="D152" s="279" t="s">
        <v>528</v>
      </c>
      <c r="E152" s="279" t="s">
        <v>482</v>
      </c>
      <c r="F152" s="279" t="s">
        <v>474</v>
      </c>
      <c r="G152" s="279">
        <v>37480000</v>
      </c>
      <c r="H152" s="279">
        <v>2151</v>
      </c>
      <c r="I152" s="279">
        <v>0</v>
      </c>
      <c r="J152" s="279">
        <v>7</v>
      </c>
      <c r="K152" s="279" t="s">
        <v>481</v>
      </c>
      <c r="L152" s="279">
        <v>0</v>
      </c>
      <c r="M152" s="279" t="s">
        <v>111</v>
      </c>
      <c r="N152" s="279" t="s">
        <v>522</v>
      </c>
      <c r="O152" s="279" t="s">
        <v>1177</v>
      </c>
      <c r="P152" s="279" t="s">
        <v>121</v>
      </c>
      <c r="Q152" s="279" t="s">
        <v>1386</v>
      </c>
      <c r="R152" s="279" t="s">
        <v>1014</v>
      </c>
      <c r="S152" s="279">
        <v>0</v>
      </c>
      <c r="T152" s="279">
        <v>13.9</v>
      </c>
      <c r="U152" s="279" t="s">
        <v>506</v>
      </c>
      <c r="V152" s="279" t="s">
        <v>506</v>
      </c>
      <c r="W152" s="279" t="s">
        <v>507</v>
      </c>
      <c r="X152" s="279" t="s">
        <v>484</v>
      </c>
      <c r="Y152" s="279"/>
      <c r="Z152" s="279"/>
      <c r="AA152" s="279"/>
      <c r="AB152" s="279" t="s">
        <v>20</v>
      </c>
      <c r="AC152" s="279" t="s">
        <v>490</v>
      </c>
      <c r="AD152" s="279" t="s">
        <v>491</v>
      </c>
      <c r="AE152" s="279">
        <v>86346</v>
      </c>
      <c r="AF152" s="279" t="s">
        <v>507</v>
      </c>
      <c r="AG152" s="279"/>
      <c r="AH152" s="279"/>
      <c r="AI152" s="279">
        <v>20230824</v>
      </c>
      <c r="AJ152" s="462" t="s">
        <v>937</v>
      </c>
      <c r="AK152" s="279"/>
      <c r="AL152" s="279" t="str">
        <f>IF(AB152="Y","단종모델",LEFT(N152,3)&amp;IFERROR(VLOOKUP(LEFT(N152,3)&amp;P152,#REF!,2,0),""))</f>
        <v>KIA</v>
      </c>
      <c r="AM152" s="469" t="str">
        <f t="shared" si="225"/>
        <v>더 뉴 쏘렌토 디젤 2.2 2WD 7인승</v>
      </c>
      <c r="AN152" s="279">
        <f t="shared" si="226"/>
        <v>37480000</v>
      </c>
      <c r="AO152" s="279">
        <f t="shared" si="227"/>
        <v>2151</v>
      </c>
      <c r="AP152" s="279" t="str">
        <f t="shared" si="228"/>
        <v>D</v>
      </c>
      <c r="AQ152" s="279">
        <f t="shared" si="229"/>
        <v>7</v>
      </c>
      <c r="AR152" s="279" t="str">
        <f t="shared" si="230"/>
        <v>RV</v>
      </c>
      <c r="AS152" s="279" t="str">
        <f t="shared" si="231"/>
        <v>다인승</v>
      </c>
      <c r="AT152" s="279" t="str">
        <f t="shared" si="213"/>
        <v>7급</v>
      </c>
      <c r="AU152" s="279" t="str">
        <f t="shared" si="214"/>
        <v>06:화성</v>
      </c>
      <c r="AV152" s="279">
        <f t="shared" si="150"/>
        <v>2500</v>
      </c>
      <c r="AW152" s="279" t="str">
        <f t="shared" si="215"/>
        <v>D</v>
      </c>
      <c r="AX152" s="279" t="str">
        <f t="shared" si="216"/>
        <v>전략P</v>
      </c>
      <c r="AY152" s="468">
        <v>0.03</v>
      </c>
      <c r="AZ152" s="468"/>
      <c r="BA152" s="279" t="s">
        <v>1553</v>
      </c>
      <c r="BB152" s="279" t="s">
        <v>1550</v>
      </c>
      <c r="BC152" s="279"/>
      <c r="BD152" s="279" t="s">
        <v>1184</v>
      </c>
      <c r="BE152" s="279" t="str">
        <f t="shared" si="232"/>
        <v>기아</v>
      </c>
      <c r="BF152" s="581">
        <v>4.1000000000000002E-2</v>
      </c>
      <c r="BG152" s="281">
        <v>0</v>
      </c>
      <c r="BH152" s="281">
        <v>216000</v>
      </c>
      <c r="BI152" s="279"/>
      <c r="BJ152" s="279"/>
      <c r="BK152" s="279"/>
      <c r="BL152" s="279"/>
      <c r="BM152" s="279" t="s">
        <v>1548</v>
      </c>
      <c r="BN152" s="279"/>
      <c r="BO152" s="279"/>
      <c r="BP152" s="500">
        <f t="shared" si="233"/>
        <v>6.2E-2</v>
      </c>
      <c r="BQ152" s="973">
        <f t="shared" si="234"/>
        <v>5.5E-2</v>
      </c>
    </row>
    <row r="153" spans="1:69" s="460" customFormat="1" ht="15" customHeight="1">
      <c r="A153" s="281">
        <v>139</v>
      </c>
      <c r="B153" s="279">
        <v>456386356</v>
      </c>
      <c r="C153" s="279" t="s">
        <v>521</v>
      </c>
      <c r="D153" s="279" t="s">
        <v>528</v>
      </c>
      <c r="E153" s="279" t="s">
        <v>482</v>
      </c>
      <c r="F153" s="279" t="s">
        <v>474</v>
      </c>
      <c r="G153" s="279">
        <v>39110000</v>
      </c>
      <c r="H153" s="279">
        <v>2151</v>
      </c>
      <c r="I153" s="279">
        <v>0</v>
      </c>
      <c r="J153" s="279">
        <v>5</v>
      </c>
      <c r="K153" s="279" t="s">
        <v>481</v>
      </c>
      <c r="L153" s="279">
        <v>0</v>
      </c>
      <c r="M153" s="279" t="s">
        <v>111</v>
      </c>
      <c r="N153" s="279" t="s">
        <v>522</v>
      </c>
      <c r="O153" s="279" t="s">
        <v>1177</v>
      </c>
      <c r="P153" s="279" t="s">
        <v>121</v>
      </c>
      <c r="Q153" s="279" t="s">
        <v>1387</v>
      </c>
      <c r="R153" s="279" t="s">
        <v>1015</v>
      </c>
      <c r="S153" s="279">
        <v>0</v>
      </c>
      <c r="T153" s="279">
        <v>13.3</v>
      </c>
      <c r="U153" s="279" t="s">
        <v>506</v>
      </c>
      <c r="V153" s="279" t="s">
        <v>506</v>
      </c>
      <c r="W153" s="279" t="s">
        <v>473</v>
      </c>
      <c r="X153" s="279" t="s">
        <v>484</v>
      </c>
      <c r="Y153" s="279"/>
      <c r="Z153" s="279"/>
      <c r="AA153" s="279"/>
      <c r="AB153" s="279" t="s">
        <v>20</v>
      </c>
      <c r="AC153" s="279" t="s">
        <v>490</v>
      </c>
      <c r="AD153" s="279" t="s">
        <v>491</v>
      </c>
      <c r="AE153" s="279">
        <v>86356</v>
      </c>
      <c r="AF153" s="279" t="s">
        <v>473</v>
      </c>
      <c r="AG153" s="279"/>
      <c r="AH153" s="279"/>
      <c r="AI153" s="279">
        <v>20230824</v>
      </c>
      <c r="AJ153" s="462" t="s">
        <v>937</v>
      </c>
      <c r="AK153" s="279"/>
      <c r="AL153" s="279" t="str">
        <f>IF(AB153="Y","단종모델",LEFT(N153,3)&amp;IFERROR(VLOOKUP(LEFT(N153,3)&amp;P153,#REF!,2,0),""))</f>
        <v>KIA</v>
      </c>
      <c r="AM153" s="469" t="str">
        <f t="shared" si="225"/>
        <v>더 뉴 쏘렌토 디젤 2.2 4WD 5인승</v>
      </c>
      <c r="AN153" s="279">
        <f t="shared" si="226"/>
        <v>39110000</v>
      </c>
      <c r="AO153" s="279">
        <f t="shared" si="227"/>
        <v>2151</v>
      </c>
      <c r="AP153" s="279" t="str">
        <f t="shared" si="228"/>
        <v>D</v>
      </c>
      <c r="AQ153" s="279">
        <f t="shared" si="229"/>
        <v>5</v>
      </c>
      <c r="AR153" s="279" t="str">
        <f t="shared" si="230"/>
        <v>RV</v>
      </c>
      <c r="AS153" s="279" t="str">
        <f t="shared" si="231"/>
        <v>승용</v>
      </c>
      <c r="AT153" s="279" t="str">
        <f t="shared" si="213"/>
        <v>7급</v>
      </c>
      <c r="AU153" s="279" t="str">
        <f t="shared" si="214"/>
        <v>06:화성</v>
      </c>
      <c r="AV153" s="279">
        <f t="shared" ref="AV153:AV218" si="235">IF(AND(BE153="기아",AQ153&lt;7),1900,IF(AND(BE153="기아",AQ153&gt;6,AQ153&lt;11),2500,IF(AND(BE153="기아",AQ153&gt;10),3500,IF(AND(BE153="KG모빌리티",AQ153&lt;7),3650,IF(AND(BE153="KG모빌리티",AQ153&gt;6),4300,0)))))</f>
        <v>1900</v>
      </c>
      <c r="AW153" s="279" t="str">
        <f t="shared" si="215"/>
        <v>D</v>
      </c>
      <c r="AX153" s="279" t="str">
        <f t="shared" si="216"/>
        <v>전략P</v>
      </c>
      <c r="AY153" s="468">
        <v>0.03</v>
      </c>
      <c r="AZ153" s="468"/>
      <c r="BA153" s="279" t="s">
        <v>1553</v>
      </c>
      <c r="BB153" s="279" t="s">
        <v>1550</v>
      </c>
      <c r="BC153" s="279"/>
      <c r="BD153" s="279" t="s">
        <v>1184</v>
      </c>
      <c r="BE153" s="279" t="str">
        <f t="shared" si="232"/>
        <v>기아</v>
      </c>
      <c r="BF153" s="581">
        <v>4.1000000000000002E-2</v>
      </c>
      <c r="BG153" s="281">
        <v>0</v>
      </c>
      <c r="BH153" s="281">
        <v>216000</v>
      </c>
      <c r="BI153" s="279"/>
      <c r="BJ153" s="279"/>
      <c r="BK153" s="279"/>
      <c r="BL153" s="279"/>
      <c r="BM153" s="279" t="s">
        <v>1548</v>
      </c>
      <c r="BN153" s="279"/>
      <c r="BO153" s="279"/>
      <c r="BP153" s="500">
        <f t="shared" si="233"/>
        <v>6.2E-2</v>
      </c>
      <c r="BQ153" s="973">
        <f t="shared" si="234"/>
        <v>5.5E-2</v>
      </c>
    </row>
    <row r="154" spans="1:69" s="460" customFormat="1" ht="15" customHeight="1">
      <c r="A154" s="281">
        <v>140</v>
      </c>
      <c r="B154" s="279">
        <v>456386357</v>
      </c>
      <c r="C154" s="279" t="s">
        <v>521</v>
      </c>
      <c r="D154" s="279" t="s">
        <v>528</v>
      </c>
      <c r="E154" s="279" t="s">
        <v>482</v>
      </c>
      <c r="F154" s="279" t="s">
        <v>474</v>
      </c>
      <c r="G154" s="279">
        <v>39950000</v>
      </c>
      <c r="H154" s="279">
        <v>2151</v>
      </c>
      <c r="I154" s="279">
        <v>0</v>
      </c>
      <c r="J154" s="279">
        <v>6</v>
      </c>
      <c r="K154" s="279" t="s">
        <v>481</v>
      </c>
      <c r="L154" s="279">
        <v>0</v>
      </c>
      <c r="M154" s="279" t="s">
        <v>111</v>
      </c>
      <c r="N154" s="279" t="s">
        <v>522</v>
      </c>
      <c r="O154" s="279" t="s">
        <v>1177</v>
      </c>
      <c r="P154" s="279" t="s">
        <v>121</v>
      </c>
      <c r="Q154" s="279" t="s">
        <v>1387</v>
      </c>
      <c r="R154" s="279" t="s">
        <v>1016</v>
      </c>
      <c r="S154" s="279">
        <v>0</v>
      </c>
      <c r="T154" s="279">
        <v>13.3</v>
      </c>
      <c r="U154" s="279" t="s">
        <v>506</v>
      </c>
      <c r="V154" s="279" t="s">
        <v>506</v>
      </c>
      <c r="W154" s="279" t="s">
        <v>473</v>
      </c>
      <c r="X154" s="279" t="s">
        <v>484</v>
      </c>
      <c r="Y154" s="279"/>
      <c r="Z154" s="279"/>
      <c r="AA154" s="279"/>
      <c r="AB154" s="279" t="s">
        <v>20</v>
      </c>
      <c r="AC154" s="279" t="s">
        <v>490</v>
      </c>
      <c r="AD154" s="279" t="s">
        <v>491</v>
      </c>
      <c r="AE154" s="279">
        <v>86357</v>
      </c>
      <c r="AF154" s="279" t="s">
        <v>473</v>
      </c>
      <c r="AG154" s="279"/>
      <c r="AH154" s="279"/>
      <c r="AI154" s="279">
        <v>20230824</v>
      </c>
      <c r="AJ154" s="462" t="s">
        <v>937</v>
      </c>
      <c r="AK154" s="279"/>
      <c r="AL154" s="279" t="str">
        <f>IF(AB154="Y","단종모델",LEFT(N154,3)&amp;IFERROR(VLOOKUP(LEFT(N154,3)&amp;P154,#REF!,2,0),""))</f>
        <v>KIA</v>
      </c>
      <c r="AM154" s="469" t="str">
        <f t="shared" si="225"/>
        <v>더 뉴 쏘렌토 디젤 2.2 4WD 6인승</v>
      </c>
      <c r="AN154" s="279">
        <f t="shared" si="226"/>
        <v>39950000</v>
      </c>
      <c r="AO154" s="279">
        <f t="shared" si="227"/>
        <v>2151</v>
      </c>
      <c r="AP154" s="279" t="str">
        <f t="shared" si="228"/>
        <v>D</v>
      </c>
      <c r="AQ154" s="279">
        <f t="shared" si="229"/>
        <v>6</v>
      </c>
      <c r="AR154" s="279" t="str">
        <f t="shared" si="230"/>
        <v>RV</v>
      </c>
      <c r="AS154" s="279" t="str">
        <f t="shared" si="231"/>
        <v>승용</v>
      </c>
      <c r="AT154" s="279" t="str">
        <f t="shared" si="213"/>
        <v>7급</v>
      </c>
      <c r="AU154" s="279" t="str">
        <f t="shared" si="214"/>
        <v>06:화성</v>
      </c>
      <c r="AV154" s="279">
        <f t="shared" si="235"/>
        <v>1900</v>
      </c>
      <c r="AW154" s="279" t="str">
        <f t="shared" si="215"/>
        <v>D</v>
      </c>
      <c r="AX154" s="279" t="str">
        <f t="shared" si="216"/>
        <v>전략P</v>
      </c>
      <c r="AY154" s="468">
        <v>0.03</v>
      </c>
      <c r="AZ154" s="468"/>
      <c r="BA154" s="279" t="s">
        <v>1553</v>
      </c>
      <c r="BB154" s="279" t="s">
        <v>1550</v>
      </c>
      <c r="BC154" s="279"/>
      <c r="BD154" s="279" t="s">
        <v>1184</v>
      </c>
      <c r="BE154" s="279" t="str">
        <f t="shared" si="232"/>
        <v>기아</v>
      </c>
      <c r="BF154" s="581">
        <v>4.1000000000000002E-2</v>
      </c>
      <c r="BG154" s="281">
        <v>0</v>
      </c>
      <c r="BH154" s="281">
        <v>216000</v>
      </c>
      <c r="BI154" s="279"/>
      <c r="BJ154" s="279"/>
      <c r="BK154" s="279"/>
      <c r="BL154" s="279"/>
      <c r="BM154" s="279" t="s">
        <v>1548</v>
      </c>
      <c r="BN154" s="279"/>
      <c r="BO154" s="279"/>
      <c r="BP154" s="500">
        <f t="shared" si="233"/>
        <v>6.2E-2</v>
      </c>
      <c r="BQ154" s="973">
        <f t="shared" si="234"/>
        <v>5.5E-2</v>
      </c>
    </row>
    <row r="155" spans="1:69" s="460" customFormat="1" ht="15" customHeight="1">
      <c r="A155" s="281">
        <v>141</v>
      </c>
      <c r="B155" s="279">
        <v>456386358</v>
      </c>
      <c r="C155" s="279" t="s">
        <v>521</v>
      </c>
      <c r="D155" s="279" t="s">
        <v>528</v>
      </c>
      <c r="E155" s="279" t="s">
        <v>482</v>
      </c>
      <c r="F155" s="279" t="s">
        <v>474</v>
      </c>
      <c r="G155" s="279">
        <v>39800000</v>
      </c>
      <c r="H155" s="279">
        <v>2151</v>
      </c>
      <c r="I155" s="279">
        <v>0</v>
      </c>
      <c r="J155" s="279">
        <v>7</v>
      </c>
      <c r="K155" s="279" t="s">
        <v>481</v>
      </c>
      <c r="L155" s="279">
        <v>0</v>
      </c>
      <c r="M155" s="279" t="s">
        <v>111</v>
      </c>
      <c r="N155" s="279" t="s">
        <v>522</v>
      </c>
      <c r="O155" s="279" t="s">
        <v>1177</v>
      </c>
      <c r="P155" s="279" t="s">
        <v>121</v>
      </c>
      <c r="Q155" s="279" t="s">
        <v>1387</v>
      </c>
      <c r="R155" s="279" t="s">
        <v>1014</v>
      </c>
      <c r="S155" s="279">
        <v>0</v>
      </c>
      <c r="T155" s="279">
        <v>13.3</v>
      </c>
      <c r="U155" s="279" t="s">
        <v>506</v>
      </c>
      <c r="V155" s="279" t="s">
        <v>506</v>
      </c>
      <c r="W155" s="279" t="s">
        <v>507</v>
      </c>
      <c r="X155" s="279" t="s">
        <v>484</v>
      </c>
      <c r="Y155" s="279"/>
      <c r="Z155" s="279"/>
      <c r="AA155" s="279"/>
      <c r="AB155" s="279" t="s">
        <v>20</v>
      </c>
      <c r="AC155" s="279" t="s">
        <v>490</v>
      </c>
      <c r="AD155" s="279" t="s">
        <v>491</v>
      </c>
      <c r="AE155" s="279">
        <v>86358</v>
      </c>
      <c r="AF155" s="279" t="s">
        <v>507</v>
      </c>
      <c r="AG155" s="279"/>
      <c r="AH155" s="279"/>
      <c r="AI155" s="279">
        <v>20230824</v>
      </c>
      <c r="AJ155" s="462" t="s">
        <v>937</v>
      </c>
      <c r="AK155" s="279"/>
      <c r="AL155" s="279" t="str">
        <f>IF(AB155="Y","단종모델",LEFT(N155,3)&amp;IFERROR(VLOOKUP(LEFT(N155,3)&amp;P155,#REF!,2,0),""))</f>
        <v>KIA</v>
      </c>
      <c r="AM155" s="469" t="str">
        <f t="shared" si="225"/>
        <v>더 뉴 쏘렌토 디젤 2.2 4WD 7인승</v>
      </c>
      <c r="AN155" s="279">
        <f t="shared" si="226"/>
        <v>39800000</v>
      </c>
      <c r="AO155" s="279">
        <f t="shared" si="227"/>
        <v>2151</v>
      </c>
      <c r="AP155" s="279" t="str">
        <f t="shared" si="228"/>
        <v>D</v>
      </c>
      <c r="AQ155" s="279">
        <f t="shared" si="229"/>
        <v>7</v>
      </c>
      <c r="AR155" s="279" t="str">
        <f t="shared" si="230"/>
        <v>RV</v>
      </c>
      <c r="AS155" s="279" t="str">
        <f t="shared" si="231"/>
        <v>다인승</v>
      </c>
      <c r="AT155" s="279" t="str">
        <f t="shared" si="213"/>
        <v>7급</v>
      </c>
      <c r="AU155" s="279" t="str">
        <f t="shared" si="214"/>
        <v>06:화성</v>
      </c>
      <c r="AV155" s="279">
        <f t="shared" si="235"/>
        <v>2500</v>
      </c>
      <c r="AW155" s="279" t="str">
        <f t="shared" si="215"/>
        <v>D</v>
      </c>
      <c r="AX155" s="279" t="str">
        <f t="shared" si="216"/>
        <v>전략P</v>
      </c>
      <c r="AY155" s="468">
        <v>0.03</v>
      </c>
      <c r="AZ155" s="468"/>
      <c r="BA155" s="279" t="s">
        <v>1553</v>
      </c>
      <c r="BB155" s="279" t="s">
        <v>1550</v>
      </c>
      <c r="BC155" s="279"/>
      <c r="BD155" s="279" t="s">
        <v>1184</v>
      </c>
      <c r="BE155" s="279" t="str">
        <f t="shared" si="232"/>
        <v>기아</v>
      </c>
      <c r="BF155" s="581">
        <v>4.1000000000000002E-2</v>
      </c>
      <c r="BG155" s="281">
        <v>0</v>
      </c>
      <c r="BH155" s="281">
        <v>216000</v>
      </c>
      <c r="BI155" s="279"/>
      <c r="BJ155" s="279"/>
      <c r="BK155" s="279"/>
      <c r="BL155" s="279"/>
      <c r="BM155" s="279" t="s">
        <v>1548</v>
      </c>
      <c r="BN155" s="279"/>
      <c r="BO155" s="279"/>
      <c r="BP155" s="500">
        <f t="shared" si="233"/>
        <v>6.2E-2</v>
      </c>
      <c r="BQ155" s="973">
        <f t="shared" si="234"/>
        <v>5.5E-2</v>
      </c>
    </row>
    <row r="156" spans="1:69" s="460" customFormat="1" ht="15" customHeight="1">
      <c r="A156" s="281">
        <v>142</v>
      </c>
      <c r="B156" s="279">
        <v>456386368</v>
      </c>
      <c r="C156" s="279" t="s">
        <v>521</v>
      </c>
      <c r="D156" s="279" t="s">
        <v>528</v>
      </c>
      <c r="E156" s="279" t="s">
        <v>482</v>
      </c>
      <c r="F156" s="279" t="s">
        <v>474</v>
      </c>
      <c r="G156" s="279">
        <v>39290000</v>
      </c>
      <c r="H156" s="279">
        <v>1598</v>
      </c>
      <c r="I156" s="279">
        <v>0</v>
      </c>
      <c r="J156" s="279">
        <v>5</v>
      </c>
      <c r="K156" s="279" t="s">
        <v>495</v>
      </c>
      <c r="L156" s="279">
        <v>0</v>
      </c>
      <c r="M156" s="279" t="s">
        <v>111</v>
      </c>
      <c r="N156" s="279" t="s">
        <v>522</v>
      </c>
      <c r="O156" s="279" t="s">
        <v>1180</v>
      </c>
      <c r="P156" s="279" t="s">
        <v>121</v>
      </c>
      <c r="Q156" s="279" t="s">
        <v>901</v>
      </c>
      <c r="R156" s="279" t="s">
        <v>1015</v>
      </c>
      <c r="S156" s="279">
        <v>0</v>
      </c>
      <c r="T156" s="279">
        <v>15.7</v>
      </c>
      <c r="U156" s="279" t="s">
        <v>523</v>
      </c>
      <c r="V156" s="279" t="s">
        <v>523</v>
      </c>
      <c r="W156" s="279" t="s">
        <v>473</v>
      </c>
      <c r="X156" s="279" t="s">
        <v>478</v>
      </c>
      <c r="Y156" s="279"/>
      <c r="Z156" s="279"/>
      <c r="AA156" s="279"/>
      <c r="AB156" s="279" t="s">
        <v>20</v>
      </c>
      <c r="AC156" s="279" t="s">
        <v>490</v>
      </c>
      <c r="AD156" s="279" t="s">
        <v>491</v>
      </c>
      <c r="AE156" s="279">
        <v>86368</v>
      </c>
      <c r="AF156" s="279" t="s">
        <v>473</v>
      </c>
      <c r="AG156" s="279"/>
      <c r="AH156" s="279"/>
      <c r="AI156" s="279">
        <v>20230824</v>
      </c>
      <c r="AJ156" s="462" t="s">
        <v>937</v>
      </c>
      <c r="AK156" s="279"/>
      <c r="AL156" s="279" t="str">
        <f>IF(AB156="Y","단종모델",LEFT(N156,3)&amp;IFERROR(VLOOKUP(LEFT(N156,3)&amp;P156,#REF!,2,0),""))</f>
        <v>KIA</v>
      </c>
      <c r="AM156" s="469" t="str">
        <f t="shared" si="225"/>
        <v>더 뉴 쏘렌토 가솔린 터보 1.6 하이브리드 2WD 5인승</v>
      </c>
      <c r="AN156" s="279">
        <f t="shared" si="226"/>
        <v>39290000</v>
      </c>
      <c r="AO156" s="279">
        <f t="shared" si="227"/>
        <v>1598</v>
      </c>
      <c r="AP156" s="279" t="str">
        <f t="shared" si="228"/>
        <v>T</v>
      </c>
      <c r="AQ156" s="279">
        <f t="shared" si="229"/>
        <v>5</v>
      </c>
      <c r="AR156" s="279" t="str">
        <f t="shared" si="230"/>
        <v>RV</v>
      </c>
      <c r="AS156" s="279" t="str">
        <f t="shared" si="231"/>
        <v>승용</v>
      </c>
      <c r="AT156" s="279" t="str">
        <f t="shared" si="213"/>
        <v>7급</v>
      </c>
      <c r="AU156" s="279" t="str">
        <f t="shared" si="214"/>
        <v>06:화성</v>
      </c>
      <c r="AV156" s="279">
        <f t="shared" si="235"/>
        <v>1900</v>
      </c>
      <c r="AW156" s="279" t="str">
        <f t="shared" si="215"/>
        <v>D</v>
      </c>
      <c r="AX156" s="279" t="str">
        <f t="shared" si="216"/>
        <v>전략P</v>
      </c>
      <c r="AY156" s="468">
        <v>2.5000000000000001E-2</v>
      </c>
      <c r="AZ156" s="468"/>
      <c r="BA156" s="279" t="s">
        <v>1563</v>
      </c>
      <c r="BB156" s="279" t="s">
        <v>1748</v>
      </c>
      <c r="BC156" s="279"/>
      <c r="BD156" s="279" t="s">
        <v>1184</v>
      </c>
      <c r="BE156" s="279" t="str">
        <f t="shared" si="232"/>
        <v>기아</v>
      </c>
      <c r="BF156" s="581">
        <v>4.1000000000000002E-2</v>
      </c>
      <c r="BG156" s="281">
        <v>0</v>
      </c>
      <c r="BH156" s="281">
        <v>216000</v>
      </c>
      <c r="BI156" s="279"/>
      <c r="BJ156" s="279"/>
      <c r="BK156" s="279"/>
      <c r="BL156" s="279"/>
      <c r="BM156" s="279" t="s">
        <v>1548</v>
      </c>
      <c r="BN156" s="279"/>
      <c r="BO156" s="279"/>
      <c r="BP156" s="500">
        <f t="shared" si="233"/>
        <v>6.2E-2</v>
      </c>
      <c r="BQ156" s="973">
        <f t="shared" si="234"/>
        <v>5.5E-2</v>
      </c>
    </row>
    <row r="157" spans="1:69" s="460" customFormat="1" ht="15" customHeight="1">
      <c r="A157" s="281">
        <v>143</v>
      </c>
      <c r="B157" s="279">
        <v>456386369</v>
      </c>
      <c r="C157" s="279" t="s">
        <v>521</v>
      </c>
      <c r="D157" s="279" t="s">
        <v>528</v>
      </c>
      <c r="E157" s="279" t="s">
        <v>482</v>
      </c>
      <c r="F157" s="279" t="s">
        <v>474</v>
      </c>
      <c r="G157" s="279">
        <v>40130000</v>
      </c>
      <c r="H157" s="279">
        <v>1598</v>
      </c>
      <c r="I157" s="279">
        <v>0</v>
      </c>
      <c r="J157" s="279">
        <v>6</v>
      </c>
      <c r="K157" s="279" t="s">
        <v>495</v>
      </c>
      <c r="L157" s="279">
        <v>0</v>
      </c>
      <c r="M157" s="279" t="s">
        <v>111</v>
      </c>
      <c r="N157" s="279" t="s">
        <v>522</v>
      </c>
      <c r="O157" s="279" t="s">
        <v>1180</v>
      </c>
      <c r="P157" s="279" t="s">
        <v>121</v>
      </c>
      <c r="Q157" s="279" t="s">
        <v>901</v>
      </c>
      <c r="R157" s="279" t="s">
        <v>1016</v>
      </c>
      <c r="S157" s="279">
        <v>0</v>
      </c>
      <c r="T157" s="279">
        <v>14.8</v>
      </c>
      <c r="U157" s="279" t="s">
        <v>523</v>
      </c>
      <c r="V157" s="279" t="s">
        <v>523</v>
      </c>
      <c r="W157" s="279" t="s">
        <v>473</v>
      </c>
      <c r="X157" s="279" t="s">
        <v>478</v>
      </c>
      <c r="Y157" s="279"/>
      <c r="Z157" s="279"/>
      <c r="AA157" s="279"/>
      <c r="AB157" s="279" t="s">
        <v>20</v>
      </c>
      <c r="AC157" s="279" t="s">
        <v>490</v>
      </c>
      <c r="AD157" s="279" t="s">
        <v>491</v>
      </c>
      <c r="AE157" s="279">
        <v>86369</v>
      </c>
      <c r="AF157" s="279" t="s">
        <v>473</v>
      </c>
      <c r="AG157" s="279"/>
      <c r="AH157" s="279"/>
      <c r="AI157" s="279">
        <v>20230824</v>
      </c>
      <c r="AJ157" s="462" t="s">
        <v>937</v>
      </c>
      <c r="AK157" s="279"/>
      <c r="AL157" s="279" t="str">
        <f>IF(AB157="Y","단종모델",LEFT(N157,3)&amp;IFERROR(VLOOKUP(LEFT(N157,3)&amp;P157,#REF!,2,0),""))</f>
        <v>KIA</v>
      </c>
      <c r="AM157" s="469" t="str">
        <f t="shared" si="225"/>
        <v>더 뉴 쏘렌토 가솔린 터보 1.6 하이브리드 2WD 6인승</v>
      </c>
      <c r="AN157" s="279">
        <f t="shared" si="226"/>
        <v>40130000</v>
      </c>
      <c r="AO157" s="279">
        <f t="shared" si="227"/>
        <v>1598</v>
      </c>
      <c r="AP157" s="279" t="str">
        <f t="shared" si="228"/>
        <v>T</v>
      </c>
      <c r="AQ157" s="279">
        <f t="shared" si="229"/>
        <v>6</v>
      </c>
      <c r="AR157" s="279" t="str">
        <f t="shared" si="230"/>
        <v>RV</v>
      </c>
      <c r="AS157" s="279" t="str">
        <f t="shared" si="231"/>
        <v>승용</v>
      </c>
      <c r="AT157" s="279" t="str">
        <f t="shared" si="213"/>
        <v>7급</v>
      </c>
      <c r="AU157" s="279" t="str">
        <f t="shared" si="214"/>
        <v>06:화성</v>
      </c>
      <c r="AV157" s="279">
        <f t="shared" si="235"/>
        <v>1900</v>
      </c>
      <c r="AW157" s="279" t="str">
        <f t="shared" si="215"/>
        <v>D</v>
      </c>
      <c r="AX157" s="279" t="str">
        <f t="shared" si="216"/>
        <v>전략P</v>
      </c>
      <c r="AY157" s="468">
        <v>2.5000000000000001E-2</v>
      </c>
      <c r="AZ157" s="468"/>
      <c r="BA157" s="279" t="s">
        <v>1563</v>
      </c>
      <c r="BB157" s="279" t="s">
        <v>1748</v>
      </c>
      <c r="BC157" s="279"/>
      <c r="BD157" s="279" t="s">
        <v>1184</v>
      </c>
      <c r="BE157" s="279" t="str">
        <f t="shared" si="232"/>
        <v>기아</v>
      </c>
      <c r="BF157" s="581">
        <v>4.1000000000000002E-2</v>
      </c>
      <c r="BG157" s="281">
        <v>0</v>
      </c>
      <c r="BH157" s="281">
        <v>216000</v>
      </c>
      <c r="BI157" s="279"/>
      <c r="BJ157" s="279"/>
      <c r="BK157" s="279"/>
      <c r="BL157" s="279"/>
      <c r="BM157" s="279" t="s">
        <v>1548</v>
      </c>
      <c r="BN157" s="279"/>
      <c r="BO157" s="279"/>
      <c r="BP157" s="500">
        <f t="shared" si="233"/>
        <v>6.2E-2</v>
      </c>
      <c r="BQ157" s="973">
        <f t="shared" si="234"/>
        <v>5.5E-2</v>
      </c>
    </row>
    <row r="158" spans="1:69" s="460" customFormat="1" ht="15" customHeight="1">
      <c r="A158" s="281">
        <v>144</v>
      </c>
      <c r="B158" s="279">
        <v>456386370</v>
      </c>
      <c r="C158" s="279" t="s">
        <v>521</v>
      </c>
      <c r="D158" s="279" t="s">
        <v>528</v>
      </c>
      <c r="E158" s="279" t="s">
        <v>482</v>
      </c>
      <c r="F158" s="279" t="s">
        <v>474</v>
      </c>
      <c r="G158" s="279">
        <v>39980000</v>
      </c>
      <c r="H158" s="279">
        <v>1598</v>
      </c>
      <c r="I158" s="279">
        <v>0</v>
      </c>
      <c r="J158" s="279">
        <v>7</v>
      </c>
      <c r="K158" s="279" t="s">
        <v>495</v>
      </c>
      <c r="L158" s="279">
        <v>0</v>
      </c>
      <c r="M158" s="279" t="s">
        <v>111</v>
      </c>
      <c r="N158" s="279" t="s">
        <v>522</v>
      </c>
      <c r="O158" s="279" t="s">
        <v>1177</v>
      </c>
      <c r="P158" s="279" t="s">
        <v>121</v>
      </c>
      <c r="Q158" s="279" t="s">
        <v>901</v>
      </c>
      <c r="R158" s="279" t="s">
        <v>1014</v>
      </c>
      <c r="S158" s="279">
        <v>0</v>
      </c>
      <c r="T158" s="279">
        <v>14.8</v>
      </c>
      <c r="U158" s="279" t="s">
        <v>523</v>
      </c>
      <c r="V158" s="279" t="s">
        <v>523</v>
      </c>
      <c r="W158" s="279" t="s">
        <v>507</v>
      </c>
      <c r="X158" s="279" t="s">
        <v>478</v>
      </c>
      <c r="Y158" s="279"/>
      <c r="Z158" s="279"/>
      <c r="AA158" s="279"/>
      <c r="AB158" s="279" t="s">
        <v>20</v>
      </c>
      <c r="AC158" s="279" t="s">
        <v>490</v>
      </c>
      <c r="AD158" s="279" t="s">
        <v>491</v>
      </c>
      <c r="AE158" s="279">
        <v>86370</v>
      </c>
      <c r="AF158" s="279" t="s">
        <v>507</v>
      </c>
      <c r="AG158" s="279"/>
      <c r="AH158" s="279"/>
      <c r="AI158" s="279">
        <v>20230824</v>
      </c>
      <c r="AJ158" s="462" t="s">
        <v>937</v>
      </c>
      <c r="AK158" s="279"/>
      <c r="AL158" s="279" t="str">
        <f>IF(AB158="Y","단종모델",LEFT(N158,3)&amp;IFERROR(VLOOKUP(LEFT(N158,3)&amp;P158,#REF!,2,0),""))</f>
        <v>KIA</v>
      </c>
      <c r="AM158" s="469" t="str">
        <f t="shared" si="225"/>
        <v>더 뉴 쏘렌토 가솔린 터보 1.6 하이브리드 2WD 7인승</v>
      </c>
      <c r="AN158" s="279">
        <f t="shared" si="226"/>
        <v>39980000</v>
      </c>
      <c r="AO158" s="279">
        <f t="shared" si="227"/>
        <v>1598</v>
      </c>
      <c r="AP158" s="279" t="str">
        <f t="shared" si="228"/>
        <v>T</v>
      </c>
      <c r="AQ158" s="279">
        <f t="shared" si="229"/>
        <v>7</v>
      </c>
      <c r="AR158" s="279" t="str">
        <f t="shared" si="230"/>
        <v>RV</v>
      </c>
      <c r="AS158" s="279" t="str">
        <f t="shared" si="231"/>
        <v>다인승</v>
      </c>
      <c r="AT158" s="279" t="str">
        <f t="shared" si="213"/>
        <v>7급</v>
      </c>
      <c r="AU158" s="279" t="str">
        <f t="shared" si="214"/>
        <v>06:화성</v>
      </c>
      <c r="AV158" s="279">
        <f t="shared" si="235"/>
        <v>2500</v>
      </c>
      <c r="AW158" s="279" t="str">
        <f t="shared" si="215"/>
        <v>D</v>
      </c>
      <c r="AX158" s="279" t="str">
        <f t="shared" si="216"/>
        <v>전략P</v>
      </c>
      <c r="AY158" s="468">
        <v>2.5000000000000001E-2</v>
      </c>
      <c r="AZ158" s="468"/>
      <c r="BA158" s="279" t="s">
        <v>1563</v>
      </c>
      <c r="BB158" s="279" t="s">
        <v>1748</v>
      </c>
      <c r="BC158" s="279"/>
      <c r="BD158" s="279" t="s">
        <v>1184</v>
      </c>
      <c r="BE158" s="279" t="str">
        <f t="shared" si="232"/>
        <v>기아</v>
      </c>
      <c r="BF158" s="581">
        <v>4.1000000000000002E-2</v>
      </c>
      <c r="BG158" s="281">
        <v>0</v>
      </c>
      <c r="BH158" s="281">
        <v>216000</v>
      </c>
      <c r="BI158" s="279"/>
      <c r="BJ158" s="279"/>
      <c r="BK158" s="279"/>
      <c r="BL158" s="279"/>
      <c r="BM158" s="279" t="s">
        <v>1548</v>
      </c>
      <c r="BN158" s="279"/>
      <c r="BO158" s="279"/>
      <c r="BP158" s="500">
        <f t="shared" si="233"/>
        <v>6.2E-2</v>
      </c>
      <c r="BQ158" s="973">
        <f t="shared" si="234"/>
        <v>5.5E-2</v>
      </c>
    </row>
    <row r="159" spans="1:69" s="460" customFormat="1" ht="15" customHeight="1">
      <c r="A159" s="281">
        <v>145</v>
      </c>
      <c r="B159" s="279">
        <v>456386380</v>
      </c>
      <c r="C159" s="279" t="s">
        <v>521</v>
      </c>
      <c r="D159" s="279" t="s">
        <v>528</v>
      </c>
      <c r="E159" s="279" t="s">
        <v>482</v>
      </c>
      <c r="F159" s="279" t="s">
        <v>474</v>
      </c>
      <c r="G159" s="279">
        <v>41610000</v>
      </c>
      <c r="H159" s="279">
        <v>1598</v>
      </c>
      <c r="I159" s="279">
        <v>0</v>
      </c>
      <c r="J159" s="279">
        <v>5</v>
      </c>
      <c r="K159" s="279" t="s">
        <v>475</v>
      </c>
      <c r="L159" s="279">
        <v>0</v>
      </c>
      <c r="M159" s="279" t="s">
        <v>111</v>
      </c>
      <c r="N159" s="279" t="s">
        <v>522</v>
      </c>
      <c r="O159" s="279" t="s">
        <v>1177</v>
      </c>
      <c r="P159" s="279" t="s">
        <v>121</v>
      </c>
      <c r="Q159" s="279" t="s">
        <v>902</v>
      </c>
      <c r="R159" s="279" t="s">
        <v>1015</v>
      </c>
      <c r="S159" s="279">
        <v>0</v>
      </c>
      <c r="T159" s="279">
        <v>13.8</v>
      </c>
      <c r="U159" s="279" t="s">
        <v>523</v>
      </c>
      <c r="V159" s="279" t="s">
        <v>523</v>
      </c>
      <c r="W159" s="279" t="s">
        <v>473</v>
      </c>
      <c r="X159" s="279" t="s">
        <v>478</v>
      </c>
      <c r="Y159" s="279"/>
      <c r="Z159" s="279"/>
      <c r="AA159" s="279"/>
      <c r="AB159" s="279" t="s">
        <v>20</v>
      </c>
      <c r="AC159" s="279" t="s">
        <v>490</v>
      </c>
      <c r="AD159" s="279" t="s">
        <v>491</v>
      </c>
      <c r="AE159" s="279">
        <v>86380</v>
      </c>
      <c r="AF159" s="279" t="s">
        <v>473</v>
      </c>
      <c r="AG159" s="279"/>
      <c r="AH159" s="279"/>
      <c r="AI159" s="279">
        <v>20230824</v>
      </c>
      <c r="AJ159" s="462" t="s">
        <v>937</v>
      </c>
      <c r="AK159" s="279"/>
      <c r="AL159" s="279" t="str">
        <f>IF(AB159="Y","단종모델",LEFT(N159,3)&amp;IFERROR(VLOOKUP(LEFT(N159,3)&amp;P159,#REF!,2,0),""))</f>
        <v>KIA</v>
      </c>
      <c r="AM159" s="469" t="str">
        <f t="shared" si="225"/>
        <v>더 뉴 쏘렌토 가솔린 터보 1.6 하이브리드 4WD 5인승</v>
      </c>
      <c r="AN159" s="279">
        <f t="shared" si="226"/>
        <v>41610000</v>
      </c>
      <c r="AO159" s="279">
        <f t="shared" si="227"/>
        <v>1598</v>
      </c>
      <c r="AP159" s="279" t="str">
        <f t="shared" si="228"/>
        <v>M</v>
      </c>
      <c r="AQ159" s="279">
        <f t="shared" si="229"/>
        <v>5</v>
      </c>
      <c r="AR159" s="279" t="str">
        <f t="shared" si="230"/>
        <v>RV</v>
      </c>
      <c r="AS159" s="279" t="str">
        <f t="shared" si="231"/>
        <v>승용</v>
      </c>
      <c r="AT159" s="279" t="str">
        <f t="shared" si="213"/>
        <v>7급</v>
      </c>
      <c r="AU159" s="279" t="str">
        <f t="shared" si="214"/>
        <v>06:화성</v>
      </c>
      <c r="AV159" s="279">
        <f t="shared" si="235"/>
        <v>1900</v>
      </c>
      <c r="AW159" s="279" t="str">
        <f t="shared" si="215"/>
        <v>D</v>
      </c>
      <c r="AX159" s="279" t="str">
        <f t="shared" si="216"/>
        <v>전략P</v>
      </c>
      <c r="AY159" s="468">
        <v>2.5000000000000001E-2</v>
      </c>
      <c r="AZ159" s="468"/>
      <c r="BA159" s="279" t="s">
        <v>1563</v>
      </c>
      <c r="BB159" s="279" t="s">
        <v>1748</v>
      </c>
      <c r="BC159" s="279"/>
      <c r="BD159" s="279" t="s">
        <v>1184</v>
      </c>
      <c r="BE159" s="279" t="str">
        <f t="shared" si="232"/>
        <v>기아</v>
      </c>
      <c r="BF159" s="581">
        <v>4.1000000000000002E-2</v>
      </c>
      <c r="BG159" s="281">
        <v>0</v>
      </c>
      <c r="BH159" s="281">
        <v>216000</v>
      </c>
      <c r="BI159" s="279"/>
      <c r="BJ159" s="279"/>
      <c r="BK159" s="279"/>
      <c r="BL159" s="279"/>
      <c r="BM159" s="279" t="s">
        <v>1548</v>
      </c>
      <c r="BN159" s="279"/>
      <c r="BO159" s="279"/>
      <c r="BP159" s="500">
        <f t="shared" si="233"/>
        <v>6.2E-2</v>
      </c>
      <c r="BQ159" s="973">
        <f t="shared" si="234"/>
        <v>5.5E-2</v>
      </c>
    </row>
    <row r="160" spans="1:69" s="460" customFormat="1" ht="15" customHeight="1">
      <c r="A160" s="281">
        <v>146</v>
      </c>
      <c r="B160" s="279">
        <v>456386381</v>
      </c>
      <c r="C160" s="279" t="s">
        <v>521</v>
      </c>
      <c r="D160" s="279" t="s">
        <v>528</v>
      </c>
      <c r="E160" s="279" t="s">
        <v>482</v>
      </c>
      <c r="F160" s="279" t="s">
        <v>474</v>
      </c>
      <c r="G160" s="279">
        <v>42450000</v>
      </c>
      <c r="H160" s="279">
        <v>1598</v>
      </c>
      <c r="I160" s="279">
        <v>0</v>
      </c>
      <c r="J160" s="279">
        <v>6</v>
      </c>
      <c r="K160" s="279" t="s">
        <v>475</v>
      </c>
      <c r="L160" s="279">
        <v>0</v>
      </c>
      <c r="M160" s="279" t="s">
        <v>111</v>
      </c>
      <c r="N160" s="279" t="s">
        <v>522</v>
      </c>
      <c r="O160" s="279" t="s">
        <v>1177</v>
      </c>
      <c r="P160" s="279" t="s">
        <v>121</v>
      </c>
      <c r="Q160" s="279" t="s">
        <v>902</v>
      </c>
      <c r="R160" s="279" t="s">
        <v>1016</v>
      </c>
      <c r="S160" s="279">
        <v>0</v>
      </c>
      <c r="T160" s="279">
        <v>13.8</v>
      </c>
      <c r="U160" s="279" t="s">
        <v>523</v>
      </c>
      <c r="V160" s="279" t="s">
        <v>523</v>
      </c>
      <c r="W160" s="279" t="s">
        <v>473</v>
      </c>
      <c r="X160" s="279" t="s">
        <v>478</v>
      </c>
      <c r="Y160" s="279"/>
      <c r="Z160" s="279"/>
      <c r="AA160" s="279"/>
      <c r="AB160" s="279" t="s">
        <v>20</v>
      </c>
      <c r="AC160" s="279" t="s">
        <v>490</v>
      </c>
      <c r="AD160" s="279" t="s">
        <v>491</v>
      </c>
      <c r="AE160" s="279">
        <v>86381</v>
      </c>
      <c r="AF160" s="279" t="s">
        <v>473</v>
      </c>
      <c r="AG160" s="279"/>
      <c r="AH160" s="279"/>
      <c r="AI160" s="279">
        <v>20230824</v>
      </c>
      <c r="AJ160" s="462" t="s">
        <v>937</v>
      </c>
      <c r="AK160" s="279"/>
      <c r="AL160" s="279" t="str">
        <f>IF(AB160="Y","단종모델",LEFT(N160,3)&amp;IFERROR(VLOOKUP(LEFT(N160,3)&amp;P160,#REF!,2,0),""))</f>
        <v>KIA</v>
      </c>
      <c r="AM160" s="469" t="str">
        <f t="shared" si="225"/>
        <v>더 뉴 쏘렌토 가솔린 터보 1.6 하이브리드 4WD 6인승</v>
      </c>
      <c r="AN160" s="279">
        <f t="shared" si="226"/>
        <v>42450000</v>
      </c>
      <c r="AO160" s="279">
        <f t="shared" si="227"/>
        <v>1598</v>
      </c>
      <c r="AP160" s="279" t="str">
        <f t="shared" si="228"/>
        <v>M</v>
      </c>
      <c r="AQ160" s="279">
        <f t="shared" si="229"/>
        <v>6</v>
      </c>
      <c r="AR160" s="279" t="str">
        <f t="shared" si="230"/>
        <v>RV</v>
      </c>
      <c r="AS160" s="279" t="str">
        <f t="shared" si="231"/>
        <v>승용</v>
      </c>
      <c r="AT160" s="279" t="str">
        <f t="shared" si="213"/>
        <v>7급</v>
      </c>
      <c r="AU160" s="279" t="str">
        <f t="shared" si="214"/>
        <v>06:화성</v>
      </c>
      <c r="AV160" s="279">
        <f t="shared" si="235"/>
        <v>1900</v>
      </c>
      <c r="AW160" s="279" t="str">
        <f t="shared" si="215"/>
        <v>D</v>
      </c>
      <c r="AX160" s="279" t="str">
        <f t="shared" si="216"/>
        <v>전략P</v>
      </c>
      <c r="AY160" s="468">
        <v>2.5000000000000001E-2</v>
      </c>
      <c r="AZ160" s="468"/>
      <c r="BA160" s="279" t="s">
        <v>1563</v>
      </c>
      <c r="BB160" s="279" t="s">
        <v>1748</v>
      </c>
      <c r="BC160" s="279"/>
      <c r="BD160" s="279" t="s">
        <v>1184</v>
      </c>
      <c r="BE160" s="279" t="str">
        <f t="shared" si="232"/>
        <v>기아</v>
      </c>
      <c r="BF160" s="581">
        <v>4.1000000000000002E-2</v>
      </c>
      <c r="BG160" s="281">
        <v>0</v>
      </c>
      <c r="BH160" s="281">
        <v>216000</v>
      </c>
      <c r="BI160" s="279"/>
      <c r="BJ160" s="279"/>
      <c r="BK160" s="279"/>
      <c r="BL160" s="279"/>
      <c r="BM160" s="279" t="s">
        <v>1548</v>
      </c>
      <c r="BN160" s="279"/>
      <c r="BO160" s="279"/>
      <c r="BP160" s="500">
        <f t="shared" si="233"/>
        <v>6.2E-2</v>
      </c>
      <c r="BQ160" s="973">
        <f t="shared" si="234"/>
        <v>5.5E-2</v>
      </c>
    </row>
    <row r="161" spans="1:69" s="460" customFormat="1" ht="15" customHeight="1">
      <c r="A161" s="281">
        <v>147</v>
      </c>
      <c r="B161" s="279">
        <v>456386382</v>
      </c>
      <c r="C161" s="279" t="s">
        <v>521</v>
      </c>
      <c r="D161" s="279" t="s">
        <v>528</v>
      </c>
      <c r="E161" s="279" t="s">
        <v>482</v>
      </c>
      <c r="F161" s="279" t="s">
        <v>474</v>
      </c>
      <c r="G161" s="279">
        <v>42300000</v>
      </c>
      <c r="H161" s="279">
        <v>1598</v>
      </c>
      <c r="I161" s="279">
        <v>0</v>
      </c>
      <c r="J161" s="279">
        <v>7</v>
      </c>
      <c r="K161" s="279" t="s">
        <v>475</v>
      </c>
      <c r="L161" s="279">
        <v>0</v>
      </c>
      <c r="M161" s="279" t="s">
        <v>111</v>
      </c>
      <c r="N161" s="279" t="s">
        <v>522</v>
      </c>
      <c r="O161" s="279" t="s">
        <v>1177</v>
      </c>
      <c r="P161" s="279" t="s">
        <v>121</v>
      </c>
      <c r="Q161" s="279" t="s">
        <v>902</v>
      </c>
      <c r="R161" s="279" t="s">
        <v>1014</v>
      </c>
      <c r="S161" s="279">
        <v>0</v>
      </c>
      <c r="T161" s="279">
        <v>13.8</v>
      </c>
      <c r="U161" s="279" t="s">
        <v>523</v>
      </c>
      <c r="V161" s="279" t="s">
        <v>523</v>
      </c>
      <c r="W161" s="279" t="s">
        <v>507</v>
      </c>
      <c r="X161" s="279" t="s">
        <v>478</v>
      </c>
      <c r="Y161" s="279"/>
      <c r="Z161" s="279"/>
      <c r="AA161" s="279"/>
      <c r="AB161" s="279" t="s">
        <v>20</v>
      </c>
      <c r="AC161" s="279" t="s">
        <v>490</v>
      </c>
      <c r="AD161" s="279" t="s">
        <v>491</v>
      </c>
      <c r="AE161" s="279">
        <v>86382</v>
      </c>
      <c r="AF161" s="279" t="s">
        <v>507</v>
      </c>
      <c r="AG161" s="279"/>
      <c r="AH161" s="279"/>
      <c r="AI161" s="279">
        <v>20230824</v>
      </c>
      <c r="AJ161" s="462" t="s">
        <v>937</v>
      </c>
      <c r="AK161" s="279"/>
      <c r="AL161" s="279" t="str">
        <f>IF(AB161="Y","단종모델",LEFT(N161,3)&amp;IFERROR(VLOOKUP(LEFT(N161,3)&amp;P161,#REF!,2,0),""))</f>
        <v>KIA</v>
      </c>
      <c r="AM161" s="469" t="str">
        <f t="shared" si="225"/>
        <v>더 뉴 쏘렌토 가솔린 터보 1.6 하이브리드 4WD 7인승</v>
      </c>
      <c r="AN161" s="279">
        <f t="shared" si="226"/>
        <v>42300000</v>
      </c>
      <c r="AO161" s="279">
        <f t="shared" si="227"/>
        <v>1598</v>
      </c>
      <c r="AP161" s="279" t="str">
        <f t="shared" si="228"/>
        <v>M</v>
      </c>
      <c r="AQ161" s="279">
        <f t="shared" si="229"/>
        <v>7</v>
      </c>
      <c r="AR161" s="279" t="str">
        <f t="shared" si="230"/>
        <v>RV</v>
      </c>
      <c r="AS161" s="279" t="str">
        <f t="shared" si="231"/>
        <v>다인승</v>
      </c>
      <c r="AT161" s="279" t="str">
        <f t="shared" si="213"/>
        <v>7급</v>
      </c>
      <c r="AU161" s="279" t="str">
        <f t="shared" si="214"/>
        <v>06:화성</v>
      </c>
      <c r="AV161" s="279">
        <f t="shared" si="235"/>
        <v>2500</v>
      </c>
      <c r="AW161" s="279" t="str">
        <f t="shared" si="215"/>
        <v>D</v>
      </c>
      <c r="AX161" s="279" t="str">
        <f t="shared" si="216"/>
        <v>전략P</v>
      </c>
      <c r="AY161" s="468">
        <v>2.5000000000000001E-2</v>
      </c>
      <c r="AZ161" s="468"/>
      <c r="BA161" s="279" t="s">
        <v>1563</v>
      </c>
      <c r="BB161" s="279" t="s">
        <v>1748</v>
      </c>
      <c r="BC161" s="279"/>
      <c r="BD161" s="279" t="s">
        <v>1184</v>
      </c>
      <c r="BE161" s="279" t="str">
        <f t="shared" si="232"/>
        <v>기아</v>
      </c>
      <c r="BF161" s="581">
        <v>4.1000000000000002E-2</v>
      </c>
      <c r="BG161" s="281">
        <v>0</v>
      </c>
      <c r="BH161" s="281">
        <v>216000</v>
      </c>
      <c r="BI161" s="279"/>
      <c r="BJ161" s="279"/>
      <c r="BK161" s="279"/>
      <c r="BL161" s="279"/>
      <c r="BM161" s="279" t="s">
        <v>1548</v>
      </c>
      <c r="BN161" s="279"/>
      <c r="BO161" s="279"/>
      <c r="BP161" s="500">
        <f t="shared" si="233"/>
        <v>6.2E-2</v>
      </c>
      <c r="BQ161" s="973">
        <f t="shared" si="234"/>
        <v>5.5E-2</v>
      </c>
    </row>
    <row r="162" spans="1:69" s="460" customFormat="1" ht="15" customHeight="1">
      <c r="A162" s="281">
        <v>148</v>
      </c>
      <c r="B162" s="279">
        <v>406986107</v>
      </c>
      <c r="C162" s="279" t="s">
        <v>521</v>
      </c>
      <c r="D162" s="279" t="s">
        <v>528</v>
      </c>
      <c r="E162" s="279" t="s">
        <v>482</v>
      </c>
      <c r="F162" s="279" t="s">
        <v>474</v>
      </c>
      <c r="G162" s="279">
        <v>34170000</v>
      </c>
      <c r="H162" s="279">
        <v>1598</v>
      </c>
      <c r="I162" s="279">
        <v>0</v>
      </c>
      <c r="J162" s="279">
        <v>5</v>
      </c>
      <c r="K162" s="279" t="s">
        <v>475</v>
      </c>
      <c r="L162" s="279">
        <v>0</v>
      </c>
      <c r="M162" s="279" t="s">
        <v>111</v>
      </c>
      <c r="N162" s="279" t="s">
        <v>522</v>
      </c>
      <c r="O162" s="279" t="s">
        <v>119</v>
      </c>
      <c r="P162" s="279" t="s">
        <v>118</v>
      </c>
      <c r="Q162" s="279" t="s">
        <v>910</v>
      </c>
      <c r="R162" s="279"/>
      <c r="S162" s="279">
        <v>54</v>
      </c>
      <c r="T162" s="279">
        <v>12</v>
      </c>
      <c r="U162" s="279" t="s">
        <v>504</v>
      </c>
      <c r="V162" s="279" t="s">
        <v>504</v>
      </c>
      <c r="W162" s="279" t="s">
        <v>473</v>
      </c>
      <c r="X162" s="279" t="s">
        <v>478</v>
      </c>
      <c r="Y162" s="279"/>
      <c r="Z162" s="279"/>
      <c r="AA162" s="279"/>
      <c r="AB162" s="279" t="s">
        <v>21</v>
      </c>
      <c r="AC162" s="279" t="s">
        <v>490</v>
      </c>
      <c r="AD162" s="279" t="s">
        <v>491</v>
      </c>
      <c r="AE162" s="279">
        <v>86107</v>
      </c>
      <c r="AF162" s="279" t="s">
        <v>473</v>
      </c>
      <c r="AG162" s="279"/>
      <c r="AH162" s="279">
        <v>0</v>
      </c>
      <c r="AI162" s="279">
        <v>20230731</v>
      </c>
      <c r="AJ162" s="462" t="s">
        <v>1151</v>
      </c>
      <c r="AK162" s="279"/>
      <c r="AL162" s="279" t="str">
        <f>IF(AB162="Y","단종모델",LEFT(N162,3)&amp;IFERROR(VLOOKUP(LEFT(N162,3)&amp;P162,#REF!,2,0),""))</f>
        <v>KIA</v>
      </c>
      <c r="AM162" s="469" t="str">
        <f t="shared" si="225"/>
        <v xml:space="preserve">스포티지 가솔린 터보 1.6 2WD </v>
      </c>
      <c r="AN162" s="279">
        <f t="shared" ref="AN162:AN205" si="236">G162</f>
        <v>34170000</v>
      </c>
      <c r="AO162" s="279">
        <f t="shared" ref="AO162:AO204" si="237">H162</f>
        <v>1598</v>
      </c>
      <c r="AP162" s="279" t="str">
        <f t="shared" ref="AP162:AP204" si="238">LEFT(K162,1)</f>
        <v>M</v>
      </c>
      <c r="AQ162" s="279">
        <f t="shared" ref="AQ162:AQ204" si="239">J162</f>
        <v>5</v>
      </c>
      <c r="AR162" s="279" t="str">
        <f t="shared" ref="AR162:AR204" si="240">RIGHT(D162,2)</f>
        <v>RV</v>
      </c>
      <c r="AS162" s="279" t="str">
        <f t="shared" ref="AS162:AS204" si="241">MID(W162,4,3)</f>
        <v>승용</v>
      </c>
      <c r="AT162" s="279" t="str">
        <f t="shared" si="213"/>
        <v>7급</v>
      </c>
      <c r="AU162" s="279" t="str">
        <f t="shared" si="214"/>
        <v>07:광주</v>
      </c>
      <c r="AV162" s="279">
        <f t="shared" si="235"/>
        <v>1900</v>
      </c>
      <c r="AW162" s="279" t="str">
        <f t="shared" si="215"/>
        <v>D</v>
      </c>
      <c r="AX162" s="279" t="str">
        <f t="shared" si="216"/>
        <v>전략</v>
      </c>
      <c r="AY162" s="468">
        <v>0.03</v>
      </c>
      <c r="AZ162" s="468"/>
      <c r="BA162" s="279" t="s">
        <v>1553</v>
      </c>
      <c r="BB162" s="279" t="s">
        <v>1563</v>
      </c>
      <c r="BC162" s="279"/>
      <c r="BD162" s="279" t="s">
        <v>1281</v>
      </c>
      <c r="BE162" s="279" t="str">
        <f t="shared" si="232"/>
        <v>기아</v>
      </c>
      <c r="BF162" s="581">
        <v>4.1000000000000002E-2</v>
      </c>
      <c r="BG162" s="281">
        <v>0</v>
      </c>
      <c r="BH162" s="281">
        <v>0</v>
      </c>
      <c r="BI162" s="279"/>
      <c r="BJ162" s="279"/>
      <c r="BK162" s="279"/>
      <c r="BL162" s="279"/>
      <c r="BM162" s="279" t="s">
        <v>1548</v>
      </c>
      <c r="BN162" s="279"/>
      <c r="BO162" s="279"/>
      <c r="BP162" s="500">
        <f t="shared" si="233"/>
        <v>6.8000000000000005E-2</v>
      </c>
      <c r="BQ162" s="973">
        <f t="shared" si="234"/>
        <v>6.1000000000000006E-2</v>
      </c>
    </row>
    <row r="163" spans="1:69" s="460" customFormat="1" ht="15" customHeight="1">
      <c r="A163" s="281">
        <v>149</v>
      </c>
      <c r="B163" s="279">
        <v>406986113</v>
      </c>
      <c r="C163" s="279" t="s">
        <v>521</v>
      </c>
      <c r="D163" s="279" t="s">
        <v>528</v>
      </c>
      <c r="E163" s="279" t="s">
        <v>482</v>
      </c>
      <c r="F163" s="279" t="s">
        <v>474</v>
      </c>
      <c r="G163" s="279">
        <v>27350000</v>
      </c>
      <c r="H163" s="279">
        <v>1598</v>
      </c>
      <c r="I163" s="279">
        <v>0</v>
      </c>
      <c r="J163" s="279">
        <v>5</v>
      </c>
      <c r="K163" s="279" t="s">
        <v>475</v>
      </c>
      <c r="L163" s="279">
        <v>0</v>
      </c>
      <c r="M163" s="279" t="s">
        <v>111</v>
      </c>
      <c r="N163" s="279" t="s">
        <v>522</v>
      </c>
      <c r="O163" s="279" t="s">
        <v>119</v>
      </c>
      <c r="P163" s="279" t="s">
        <v>118</v>
      </c>
      <c r="Q163" s="279" t="s">
        <v>911</v>
      </c>
      <c r="R163" s="279"/>
      <c r="S163" s="279">
        <v>54</v>
      </c>
      <c r="T163" s="279">
        <v>11.3</v>
      </c>
      <c r="U163" s="279" t="s">
        <v>523</v>
      </c>
      <c r="V163" s="279" t="s">
        <v>523</v>
      </c>
      <c r="W163" s="279" t="s">
        <v>473</v>
      </c>
      <c r="X163" s="279" t="s">
        <v>478</v>
      </c>
      <c r="Y163" s="279"/>
      <c r="Z163" s="279"/>
      <c r="AA163" s="279"/>
      <c r="AB163" s="279" t="s">
        <v>21</v>
      </c>
      <c r="AC163" s="279" t="s">
        <v>490</v>
      </c>
      <c r="AD163" s="279" t="s">
        <v>491</v>
      </c>
      <c r="AE163" s="279">
        <v>86113</v>
      </c>
      <c r="AF163" s="279" t="s">
        <v>473</v>
      </c>
      <c r="AG163" s="279"/>
      <c r="AH163" s="279">
        <v>0</v>
      </c>
      <c r="AI163" s="279">
        <v>20230731</v>
      </c>
      <c r="AJ163" s="462" t="s">
        <v>1151</v>
      </c>
      <c r="AK163" s="279"/>
      <c r="AL163" s="279" t="str">
        <f>IF(AB163="Y","단종모델",LEFT(N163,3)&amp;IFERROR(VLOOKUP(LEFT(N163,3)&amp;P163,#REF!,2,0),""))</f>
        <v>KIA</v>
      </c>
      <c r="AM163" s="469" t="str">
        <f t="shared" si="225"/>
        <v xml:space="preserve">스포티지 가솔린 터보 1.6 4WD </v>
      </c>
      <c r="AN163" s="279">
        <f t="shared" si="236"/>
        <v>27350000</v>
      </c>
      <c r="AO163" s="279">
        <f t="shared" si="237"/>
        <v>1598</v>
      </c>
      <c r="AP163" s="279" t="str">
        <f t="shared" si="238"/>
        <v>M</v>
      </c>
      <c r="AQ163" s="279">
        <f t="shared" si="239"/>
        <v>5</v>
      </c>
      <c r="AR163" s="279" t="str">
        <f t="shared" si="240"/>
        <v>RV</v>
      </c>
      <c r="AS163" s="279" t="str">
        <f t="shared" si="241"/>
        <v>승용</v>
      </c>
      <c r="AT163" s="279" t="str">
        <f t="shared" si="213"/>
        <v>7급</v>
      </c>
      <c r="AU163" s="279" t="str">
        <f t="shared" si="214"/>
        <v>07:광주</v>
      </c>
      <c r="AV163" s="279">
        <f t="shared" si="235"/>
        <v>1900</v>
      </c>
      <c r="AW163" s="279" t="str">
        <f t="shared" si="215"/>
        <v>D</v>
      </c>
      <c r="AX163" s="279" t="str">
        <f t="shared" si="216"/>
        <v>전략</v>
      </c>
      <c r="AY163" s="468">
        <v>0.03</v>
      </c>
      <c r="AZ163" s="468"/>
      <c r="BA163" s="279" t="s">
        <v>1553</v>
      </c>
      <c r="BB163" s="279" t="s">
        <v>1563</v>
      </c>
      <c r="BC163" s="279"/>
      <c r="BD163" s="279" t="s">
        <v>1281</v>
      </c>
      <c r="BE163" s="279" t="str">
        <f t="shared" si="232"/>
        <v>기아</v>
      </c>
      <c r="BF163" s="581">
        <v>4.1000000000000002E-2</v>
      </c>
      <c r="BG163" s="281">
        <v>0</v>
      </c>
      <c r="BH163" s="281">
        <v>0</v>
      </c>
      <c r="BI163" s="279"/>
      <c r="BJ163" s="279"/>
      <c r="BK163" s="279"/>
      <c r="BL163" s="279"/>
      <c r="BM163" s="279" t="s">
        <v>1548</v>
      </c>
      <c r="BN163" s="279"/>
      <c r="BO163" s="279"/>
      <c r="BP163" s="500">
        <f t="shared" si="233"/>
        <v>6.8000000000000005E-2</v>
      </c>
      <c r="BQ163" s="973">
        <f t="shared" si="234"/>
        <v>6.1000000000000006E-2</v>
      </c>
    </row>
    <row r="164" spans="1:69" s="460" customFormat="1" ht="15" customHeight="1">
      <c r="A164" s="281">
        <v>150</v>
      </c>
      <c r="B164" s="279">
        <v>406986119</v>
      </c>
      <c r="C164" s="279" t="s">
        <v>521</v>
      </c>
      <c r="D164" s="279" t="s">
        <v>528</v>
      </c>
      <c r="E164" s="279" t="s">
        <v>482</v>
      </c>
      <c r="F164" s="279" t="s">
        <v>474</v>
      </c>
      <c r="G164" s="279">
        <v>27890000</v>
      </c>
      <c r="H164" s="279">
        <v>1998</v>
      </c>
      <c r="I164" s="279">
        <v>0</v>
      </c>
      <c r="J164" s="279">
        <v>5</v>
      </c>
      <c r="K164" s="279" t="s">
        <v>481</v>
      </c>
      <c r="L164" s="279">
        <v>0</v>
      </c>
      <c r="M164" s="279" t="s">
        <v>111</v>
      </c>
      <c r="N164" s="279" t="s">
        <v>522</v>
      </c>
      <c r="O164" s="279" t="s">
        <v>119</v>
      </c>
      <c r="P164" s="279" t="s">
        <v>118</v>
      </c>
      <c r="Q164" s="279" t="s">
        <v>503</v>
      </c>
      <c r="R164" s="279"/>
      <c r="S164" s="279">
        <v>54</v>
      </c>
      <c r="T164" s="279">
        <v>14.5</v>
      </c>
      <c r="U164" s="279" t="s">
        <v>523</v>
      </c>
      <c r="V164" s="279" t="s">
        <v>523</v>
      </c>
      <c r="W164" s="279" t="s">
        <v>473</v>
      </c>
      <c r="X164" s="279" t="s">
        <v>498</v>
      </c>
      <c r="Y164" s="279"/>
      <c r="Z164" s="279"/>
      <c r="AA164" s="279"/>
      <c r="AB164" s="279" t="s">
        <v>21</v>
      </c>
      <c r="AC164" s="279" t="s">
        <v>490</v>
      </c>
      <c r="AD164" s="279" t="s">
        <v>491</v>
      </c>
      <c r="AE164" s="279">
        <v>86119</v>
      </c>
      <c r="AF164" s="279" t="s">
        <v>473</v>
      </c>
      <c r="AG164" s="279"/>
      <c r="AH164" s="279">
        <v>0</v>
      </c>
      <c r="AI164" s="279">
        <v>20230731</v>
      </c>
      <c r="AJ164" s="462" t="s">
        <v>1151</v>
      </c>
      <c r="AK164" s="279"/>
      <c r="AL164" s="279" t="str">
        <f>IF(AB164="Y","단종모델",LEFT(N164,3)&amp;IFERROR(VLOOKUP(LEFT(N164,3)&amp;P164,#REF!,2,0),""))</f>
        <v>KIA</v>
      </c>
      <c r="AM164" s="469" t="str">
        <f t="shared" si="225"/>
        <v xml:space="preserve">스포티지 디젤 2.0 2WD </v>
      </c>
      <c r="AN164" s="279">
        <f t="shared" si="236"/>
        <v>27890000</v>
      </c>
      <c r="AO164" s="279">
        <f t="shared" si="237"/>
        <v>1998</v>
      </c>
      <c r="AP164" s="279" t="str">
        <f t="shared" si="238"/>
        <v>D</v>
      </c>
      <c r="AQ164" s="279">
        <f t="shared" si="239"/>
        <v>5</v>
      </c>
      <c r="AR164" s="279" t="str">
        <f t="shared" si="240"/>
        <v>RV</v>
      </c>
      <c r="AS164" s="279" t="str">
        <f t="shared" si="241"/>
        <v>승용</v>
      </c>
      <c r="AT164" s="279" t="str">
        <f t="shared" si="213"/>
        <v>7급</v>
      </c>
      <c r="AU164" s="279" t="str">
        <f t="shared" si="214"/>
        <v>07:광주</v>
      </c>
      <c r="AV164" s="279">
        <f t="shared" si="235"/>
        <v>1900</v>
      </c>
      <c r="AW164" s="279" t="str">
        <f t="shared" si="215"/>
        <v>D</v>
      </c>
      <c r="AX164" s="279" t="str">
        <f t="shared" si="216"/>
        <v>전략</v>
      </c>
      <c r="AY164" s="468">
        <v>0.03</v>
      </c>
      <c r="AZ164" s="468"/>
      <c r="BA164" s="279" t="s">
        <v>1693</v>
      </c>
      <c r="BB164" s="279" t="s">
        <v>1650</v>
      </c>
      <c r="BC164" s="279"/>
      <c r="BD164" s="279" t="s">
        <v>1281</v>
      </c>
      <c r="BE164" s="279" t="str">
        <f t="shared" si="232"/>
        <v>기아</v>
      </c>
      <c r="BF164" s="581">
        <v>4.1000000000000002E-2</v>
      </c>
      <c r="BG164" s="281">
        <v>0</v>
      </c>
      <c r="BH164" s="281">
        <v>0</v>
      </c>
      <c r="BI164" s="279"/>
      <c r="BJ164" s="279"/>
      <c r="BK164" s="279"/>
      <c r="BL164" s="279"/>
      <c r="BM164" s="279" t="s">
        <v>1548</v>
      </c>
      <c r="BN164" s="279"/>
      <c r="BO164" s="279"/>
      <c r="BP164" s="500">
        <f t="shared" si="233"/>
        <v>6.8000000000000005E-2</v>
      </c>
      <c r="BQ164" s="973">
        <f t="shared" si="234"/>
        <v>6.1000000000000006E-2</v>
      </c>
    </row>
    <row r="165" spans="1:69" s="460" customFormat="1" ht="15" customHeight="1">
      <c r="A165" s="281">
        <v>151</v>
      </c>
      <c r="B165" s="279">
        <v>406986125</v>
      </c>
      <c r="C165" s="279" t="s">
        <v>521</v>
      </c>
      <c r="D165" s="279" t="s">
        <v>528</v>
      </c>
      <c r="E165" s="279" t="s">
        <v>482</v>
      </c>
      <c r="F165" s="279" t="s">
        <v>474</v>
      </c>
      <c r="G165" s="279">
        <v>30120000</v>
      </c>
      <c r="H165" s="279">
        <v>1998</v>
      </c>
      <c r="I165" s="279">
        <v>0</v>
      </c>
      <c r="J165" s="279">
        <v>5</v>
      </c>
      <c r="K165" s="279" t="s">
        <v>481</v>
      </c>
      <c r="L165" s="279">
        <v>0</v>
      </c>
      <c r="M165" s="279" t="s">
        <v>111</v>
      </c>
      <c r="N165" s="279" t="s">
        <v>522</v>
      </c>
      <c r="O165" s="279" t="s">
        <v>119</v>
      </c>
      <c r="P165" s="279" t="s">
        <v>118</v>
      </c>
      <c r="Q165" s="279" t="s">
        <v>505</v>
      </c>
      <c r="R165" s="279"/>
      <c r="S165" s="279">
        <v>54</v>
      </c>
      <c r="T165" s="279">
        <v>12.9</v>
      </c>
      <c r="U165" s="279" t="s">
        <v>523</v>
      </c>
      <c r="V165" s="279" t="s">
        <v>523</v>
      </c>
      <c r="W165" s="279" t="s">
        <v>473</v>
      </c>
      <c r="X165" s="279" t="s">
        <v>498</v>
      </c>
      <c r="Y165" s="279"/>
      <c r="Z165" s="279"/>
      <c r="AA165" s="279"/>
      <c r="AB165" s="279" t="s">
        <v>21</v>
      </c>
      <c r="AC165" s="279" t="s">
        <v>490</v>
      </c>
      <c r="AD165" s="279" t="s">
        <v>491</v>
      </c>
      <c r="AE165" s="279">
        <v>86125</v>
      </c>
      <c r="AF165" s="279" t="s">
        <v>473</v>
      </c>
      <c r="AG165" s="279"/>
      <c r="AH165" s="279">
        <v>0</v>
      </c>
      <c r="AI165" s="279">
        <v>20230731</v>
      </c>
      <c r="AJ165" s="462" t="s">
        <v>1151</v>
      </c>
      <c r="AK165" s="279"/>
      <c r="AL165" s="279" t="str">
        <f>IF(AB165="Y","단종모델",LEFT(N165,3)&amp;IFERROR(VLOOKUP(LEFT(N165,3)&amp;P165,#REF!,2,0),""))</f>
        <v>KIA</v>
      </c>
      <c r="AM165" s="469" t="str">
        <f t="shared" si="225"/>
        <v xml:space="preserve">스포티지 디젤 2.0 4WD </v>
      </c>
      <c r="AN165" s="279">
        <f t="shared" si="236"/>
        <v>30120000</v>
      </c>
      <c r="AO165" s="279">
        <f t="shared" si="237"/>
        <v>1998</v>
      </c>
      <c r="AP165" s="279" t="str">
        <f t="shared" si="238"/>
        <v>D</v>
      </c>
      <c r="AQ165" s="279">
        <f t="shared" si="239"/>
        <v>5</v>
      </c>
      <c r="AR165" s="279" t="str">
        <f t="shared" si="240"/>
        <v>RV</v>
      </c>
      <c r="AS165" s="279" t="str">
        <f t="shared" si="241"/>
        <v>승용</v>
      </c>
      <c r="AT165" s="279" t="str">
        <f t="shared" si="213"/>
        <v>7급</v>
      </c>
      <c r="AU165" s="279" t="str">
        <f t="shared" si="214"/>
        <v>07:광주</v>
      </c>
      <c r="AV165" s="279">
        <f t="shared" si="235"/>
        <v>1900</v>
      </c>
      <c r="AW165" s="279" t="str">
        <f t="shared" si="215"/>
        <v>D</v>
      </c>
      <c r="AX165" s="279" t="str">
        <f t="shared" si="216"/>
        <v>전략</v>
      </c>
      <c r="AY165" s="468">
        <v>0.03</v>
      </c>
      <c r="AZ165" s="468"/>
      <c r="BA165" s="279" t="s">
        <v>1693</v>
      </c>
      <c r="BB165" s="279" t="s">
        <v>1650</v>
      </c>
      <c r="BC165" s="279"/>
      <c r="BD165" s="279" t="s">
        <v>1281</v>
      </c>
      <c r="BE165" s="279" t="str">
        <f t="shared" si="232"/>
        <v>기아</v>
      </c>
      <c r="BF165" s="581">
        <v>4.1000000000000002E-2</v>
      </c>
      <c r="BG165" s="281">
        <v>0</v>
      </c>
      <c r="BH165" s="281">
        <v>0</v>
      </c>
      <c r="BI165" s="279"/>
      <c r="BJ165" s="279"/>
      <c r="BK165" s="279"/>
      <c r="BL165" s="279"/>
      <c r="BM165" s="279" t="s">
        <v>1548</v>
      </c>
      <c r="BN165" s="279"/>
      <c r="BO165" s="279"/>
      <c r="BP165" s="500">
        <f t="shared" si="233"/>
        <v>6.8000000000000005E-2</v>
      </c>
      <c r="BQ165" s="973">
        <f t="shared" si="234"/>
        <v>6.1000000000000006E-2</v>
      </c>
    </row>
    <row r="166" spans="1:69" s="460" customFormat="1" ht="15" customHeight="1">
      <c r="A166" s="281">
        <v>152</v>
      </c>
      <c r="B166" s="279">
        <v>406986131</v>
      </c>
      <c r="C166" s="279" t="s">
        <v>521</v>
      </c>
      <c r="D166" s="279" t="s">
        <v>528</v>
      </c>
      <c r="E166" s="279" t="s">
        <v>482</v>
      </c>
      <c r="F166" s="279" t="s">
        <v>474</v>
      </c>
      <c r="G166" s="279">
        <v>26010000</v>
      </c>
      <c r="H166" s="279">
        <v>1999</v>
      </c>
      <c r="I166" s="279">
        <v>0</v>
      </c>
      <c r="J166" s="279">
        <v>5</v>
      </c>
      <c r="K166" s="279" t="s">
        <v>508</v>
      </c>
      <c r="L166" s="279">
        <v>0</v>
      </c>
      <c r="M166" s="279" t="s">
        <v>111</v>
      </c>
      <c r="N166" s="279" t="s">
        <v>522</v>
      </c>
      <c r="O166" s="279" t="s">
        <v>119</v>
      </c>
      <c r="P166" s="279" t="s">
        <v>118</v>
      </c>
      <c r="Q166" s="279" t="s">
        <v>912</v>
      </c>
      <c r="R166" s="279"/>
      <c r="S166" s="279">
        <v>64</v>
      </c>
      <c r="T166" s="279">
        <v>9.1999999999999993</v>
      </c>
      <c r="U166" s="279" t="s">
        <v>523</v>
      </c>
      <c r="V166" s="279" t="s">
        <v>523</v>
      </c>
      <c r="W166" s="279" t="s">
        <v>473</v>
      </c>
      <c r="X166" s="279" t="s">
        <v>498</v>
      </c>
      <c r="Y166" s="279"/>
      <c r="Z166" s="279"/>
      <c r="AA166" s="279"/>
      <c r="AB166" s="279" t="s">
        <v>21</v>
      </c>
      <c r="AC166" s="279" t="s">
        <v>490</v>
      </c>
      <c r="AD166" s="279" t="s">
        <v>491</v>
      </c>
      <c r="AE166" s="279">
        <v>86131</v>
      </c>
      <c r="AF166" s="279" t="s">
        <v>473</v>
      </c>
      <c r="AG166" s="279"/>
      <c r="AH166" s="279">
        <v>0</v>
      </c>
      <c r="AI166" s="279">
        <v>20230731</v>
      </c>
      <c r="AJ166" s="462" t="s">
        <v>1151</v>
      </c>
      <c r="AK166" s="279"/>
      <c r="AL166" s="279" t="str">
        <f>IF(AB166="Y","단종모델",LEFT(N166,3)&amp;IFERROR(VLOOKUP(LEFT(N166,3)&amp;P166,#REF!,2,0),""))</f>
        <v>KIA</v>
      </c>
      <c r="AM166" s="469" t="str">
        <f t="shared" si="225"/>
        <v xml:space="preserve">스포티지 LPG 2.0 2WD </v>
      </c>
      <c r="AN166" s="279">
        <f t="shared" si="236"/>
        <v>26010000</v>
      </c>
      <c r="AO166" s="279">
        <f t="shared" si="237"/>
        <v>1999</v>
      </c>
      <c r="AP166" s="279" t="str">
        <f t="shared" si="238"/>
        <v>L</v>
      </c>
      <c r="AQ166" s="279">
        <f t="shared" si="239"/>
        <v>5</v>
      </c>
      <c r="AR166" s="279" t="str">
        <f t="shared" si="240"/>
        <v>RV</v>
      </c>
      <c r="AS166" s="279" t="str">
        <f t="shared" si="241"/>
        <v>승용</v>
      </c>
      <c r="AT166" s="279" t="str">
        <f t="shared" si="213"/>
        <v>7급</v>
      </c>
      <c r="AU166" s="279" t="str">
        <f t="shared" si="214"/>
        <v>07:광주</v>
      </c>
      <c r="AV166" s="279">
        <f t="shared" si="235"/>
        <v>1900</v>
      </c>
      <c r="AW166" s="279" t="str">
        <f t="shared" si="215"/>
        <v>D</v>
      </c>
      <c r="AX166" s="279" t="str">
        <f t="shared" si="216"/>
        <v>전략</v>
      </c>
      <c r="AY166" s="468">
        <v>0.03</v>
      </c>
      <c r="AZ166" s="468"/>
      <c r="BA166" s="279" t="s">
        <v>1688</v>
      </c>
      <c r="BB166" s="279" t="s">
        <v>1643</v>
      </c>
      <c r="BC166" s="279"/>
      <c r="BD166" s="279" t="s">
        <v>1281</v>
      </c>
      <c r="BE166" s="279" t="str">
        <f t="shared" si="232"/>
        <v>기아</v>
      </c>
      <c r="BF166" s="581">
        <v>4.1000000000000002E-2</v>
      </c>
      <c r="BG166" s="281">
        <v>0</v>
      </c>
      <c r="BH166" s="281">
        <v>0</v>
      </c>
      <c r="BI166" s="279"/>
      <c r="BJ166" s="279"/>
      <c r="BK166" s="279"/>
      <c r="BL166" s="279"/>
      <c r="BM166" s="279" t="s">
        <v>1548</v>
      </c>
      <c r="BN166" s="279"/>
      <c r="BO166" s="279"/>
      <c r="BP166" s="500">
        <f t="shared" si="233"/>
        <v>6.8000000000000005E-2</v>
      </c>
      <c r="BQ166" s="973">
        <f t="shared" si="234"/>
        <v>6.1000000000000006E-2</v>
      </c>
    </row>
    <row r="167" spans="1:69" s="460" customFormat="1" ht="15" customHeight="1">
      <c r="A167" s="281">
        <v>153</v>
      </c>
      <c r="B167" s="279">
        <v>406986137</v>
      </c>
      <c r="C167" s="279" t="s">
        <v>521</v>
      </c>
      <c r="D167" s="279" t="s">
        <v>528</v>
      </c>
      <c r="E167" s="279" t="s">
        <v>482</v>
      </c>
      <c r="F167" s="279" t="s">
        <v>474</v>
      </c>
      <c r="G167" s="279">
        <v>33560000</v>
      </c>
      <c r="H167" s="279">
        <v>1598</v>
      </c>
      <c r="I167" s="279">
        <v>0</v>
      </c>
      <c r="J167" s="279">
        <v>5</v>
      </c>
      <c r="K167" s="279" t="s">
        <v>495</v>
      </c>
      <c r="L167" s="279">
        <v>0</v>
      </c>
      <c r="M167" s="279" t="s">
        <v>111</v>
      </c>
      <c r="N167" s="279" t="s">
        <v>522</v>
      </c>
      <c r="O167" s="279" t="s">
        <v>119</v>
      </c>
      <c r="P167" s="279" t="s">
        <v>118</v>
      </c>
      <c r="Q167" s="279" t="s">
        <v>901</v>
      </c>
      <c r="R167" s="279"/>
      <c r="S167" s="279">
        <v>52</v>
      </c>
      <c r="T167" s="279">
        <v>16.7</v>
      </c>
      <c r="U167" s="279" t="s">
        <v>523</v>
      </c>
      <c r="V167" s="279" t="s">
        <v>523</v>
      </c>
      <c r="W167" s="279" t="s">
        <v>473</v>
      </c>
      <c r="X167" s="279" t="s">
        <v>478</v>
      </c>
      <c r="Y167" s="279"/>
      <c r="Z167" s="279"/>
      <c r="AA167" s="279"/>
      <c r="AB167" s="279" t="s">
        <v>21</v>
      </c>
      <c r="AC167" s="279" t="s">
        <v>490</v>
      </c>
      <c r="AD167" s="279" t="s">
        <v>491</v>
      </c>
      <c r="AE167" s="279">
        <v>86137</v>
      </c>
      <c r="AF167" s="279" t="s">
        <v>473</v>
      </c>
      <c r="AG167" s="279"/>
      <c r="AH167" s="279">
        <v>0</v>
      </c>
      <c r="AI167" s="279">
        <v>20230731</v>
      </c>
      <c r="AJ167" s="462" t="s">
        <v>1151</v>
      </c>
      <c r="AK167" s="279"/>
      <c r="AL167" s="279" t="str">
        <f>IF(AB167="Y","단종모델",LEFT(N167,3)&amp;IFERROR(VLOOKUP(LEFT(N167,3)&amp;P167,#REF!,2,0),""))</f>
        <v>KIA</v>
      </c>
      <c r="AM167" s="469" t="str">
        <f t="shared" si="225"/>
        <v xml:space="preserve">스포티지 가솔린 터보 1.6 하이브리드 2WD </v>
      </c>
      <c r="AN167" s="279">
        <f t="shared" si="236"/>
        <v>33560000</v>
      </c>
      <c r="AO167" s="279">
        <f t="shared" si="237"/>
        <v>1598</v>
      </c>
      <c r="AP167" s="279" t="str">
        <f t="shared" si="238"/>
        <v>T</v>
      </c>
      <c r="AQ167" s="279">
        <f t="shared" si="239"/>
        <v>5</v>
      </c>
      <c r="AR167" s="279" t="str">
        <f t="shared" si="240"/>
        <v>RV</v>
      </c>
      <c r="AS167" s="279" t="str">
        <f t="shared" si="241"/>
        <v>승용</v>
      </c>
      <c r="AT167" s="279" t="str">
        <f t="shared" si="213"/>
        <v>7급</v>
      </c>
      <c r="AU167" s="279" t="str">
        <f t="shared" si="214"/>
        <v>07:광주</v>
      </c>
      <c r="AV167" s="279">
        <f t="shared" si="235"/>
        <v>1900</v>
      </c>
      <c r="AW167" s="279" t="str">
        <f t="shared" si="215"/>
        <v>D</v>
      </c>
      <c r="AX167" s="279" t="str">
        <f t="shared" si="216"/>
        <v>전략</v>
      </c>
      <c r="AY167" s="468">
        <v>2.5000000000000001E-2</v>
      </c>
      <c r="AZ167" s="468"/>
      <c r="BA167" s="279" t="s">
        <v>1552</v>
      </c>
      <c r="BB167" s="279" t="s">
        <v>1748</v>
      </c>
      <c r="BC167" s="279"/>
      <c r="BD167" s="279" t="s">
        <v>1281</v>
      </c>
      <c r="BE167" s="279" t="str">
        <f t="shared" si="232"/>
        <v>기아</v>
      </c>
      <c r="BF167" s="581">
        <v>4.1000000000000002E-2</v>
      </c>
      <c r="BG167" s="281">
        <v>0</v>
      </c>
      <c r="BH167" s="281">
        <v>0</v>
      </c>
      <c r="BI167" s="279"/>
      <c r="BJ167" s="279"/>
      <c r="BK167" s="279"/>
      <c r="BL167" s="279"/>
      <c r="BM167" s="279" t="s">
        <v>1548</v>
      </c>
      <c r="BN167" s="279"/>
      <c r="BO167" s="279"/>
      <c r="BP167" s="500">
        <f t="shared" si="233"/>
        <v>6.8000000000000005E-2</v>
      </c>
      <c r="BQ167" s="973">
        <f t="shared" si="234"/>
        <v>6.1000000000000006E-2</v>
      </c>
    </row>
    <row r="168" spans="1:69" s="460" customFormat="1" ht="15" customHeight="1">
      <c r="A168" s="281">
        <v>154</v>
      </c>
      <c r="B168" s="279">
        <v>406986143</v>
      </c>
      <c r="C168" s="279" t="s">
        <v>521</v>
      </c>
      <c r="D168" s="279" t="s">
        <v>528</v>
      </c>
      <c r="E168" s="279" t="s">
        <v>482</v>
      </c>
      <c r="F168" s="279" t="s">
        <v>474</v>
      </c>
      <c r="G168" s="279">
        <v>35790000</v>
      </c>
      <c r="H168" s="279">
        <v>1598</v>
      </c>
      <c r="I168" s="279">
        <v>0</v>
      </c>
      <c r="J168" s="279">
        <v>5</v>
      </c>
      <c r="K168" s="279" t="s">
        <v>495</v>
      </c>
      <c r="L168" s="279">
        <v>0</v>
      </c>
      <c r="M168" s="279" t="s">
        <v>111</v>
      </c>
      <c r="N168" s="279" t="s">
        <v>522</v>
      </c>
      <c r="O168" s="279" t="s">
        <v>119</v>
      </c>
      <c r="P168" s="279" t="s">
        <v>118</v>
      </c>
      <c r="Q168" s="279" t="s">
        <v>902</v>
      </c>
      <c r="R168" s="279"/>
      <c r="S168" s="279">
        <v>52</v>
      </c>
      <c r="T168" s="279">
        <v>15.2</v>
      </c>
      <c r="U168" s="279" t="s">
        <v>523</v>
      </c>
      <c r="V168" s="279" t="s">
        <v>523</v>
      </c>
      <c r="W168" s="279" t="s">
        <v>473</v>
      </c>
      <c r="X168" s="279" t="s">
        <v>478</v>
      </c>
      <c r="Y168" s="279"/>
      <c r="Z168" s="279"/>
      <c r="AA168" s="279"/>
      <c r="AB168" s="279" t="s">
        <v>21</v>
      </c>
      <c r="AC168" s="279" t="s">
        <v>490</v>
      </c>
      <c r="AD168" s="279" t="s">
        <v>491</v>
      </c>
      <c r="AE168" s="279">
        <v>86143</v>
      </c>
      <c r="AF168" s="279" t="s">
        <v>473</v>
      </c>
      <c r="AG168" s="279"/>
      <c r="AH168" s="279">
        <v>0</v>
      </c>
      <c r="AI168" s="279">
        <v>20230731</v>
      </c>
      <c r="AJ168" s="462" t="s">
        <v>1151</v>
      </c>
      <c r="AK168" s="279"/>
      <c r="AL168" s="279" t="str">
        <f>IF(AB168="Y","단종모델",LEFT(N168,3)&amp;IFERROR(VLOOKUP(LEFT(N168,3)&amp;P168,#REF!,2,0),""))</f>
        <v>KIA</v>
      </c>
      <c r="AM168" s="469" t="str">
        <f t="shared" si="225"/>
        <v xml:space="preserve">스포티지 가솔린 터보 1.6 하이브리드 4WD </v>
      </c>
      <c r="AN168" s="279">
        <f t="shared" si="236"/>
        <v>35790000</v>
      </c>
      <c r="AO168" s="279">
        <f t="shared" si="237"/>
        <v>1598</v>
      </c>
      <c r="AP168" s="279" t="str">
        <f t="shared" si="238"/>
        <v>T</v>
      </c>
      <c r="AQ168" s="279">
        <f t="shared" si="239"/>
        <v>5</v>
      </c>
      <c r="AR168" s="279" t="str">
        <f t="shared" si="240"/>
        <v>RV</v>
      </c>
      <c r="AS168" s="279" t="str">
        <f t="shared" si="241"/>
        <v>승용</v>
      </c>
      <c r="AT168" s="279" t="str">
        <f t="shared" si="213"/>
        <v>7급</v>
      </c>
      <c r="AU168" s="279" t="str">
        <f t="shared" si="214"/>
        <v>07:광주</v>
      </c>
      <c r="AV168" s="279">
        <f t="shared" si="235"/>
        <v>1900</v>
      </c>
      <c r="AW168" s="279" t="str">
        <f t="shared" si="215"/>
        <v>D</v>
      </c>
      <c r="AX168" s="279" t="str">
        <f t="shared" si="216"/>
        <v>전략</v>
      </c>
      <c r="AY168" s="468">
        <v>2.5000000000000001E-2</v>
      </c>
      <c r="AZ168" s="468"/>
      <c r="BA168" s="279" t="s">
        <v>1552</v>
      </c>
      <c r="BB168" s="279" t="s">
        <v>1748</v>
      </c>
      <c r="BC168" s="279"/>
      <c r="BD168" s="279" t="s">
        <v>1281</v>
      </c>
      <c r="BE168" s="279" t="str">
        <f t="shared" si="232"/>
        <v>기아</v>
      </c>
      <c r="BF168" s="581">
        <v>4.1000000000000002E-2</v>
      </c>
      <c r="BG168" s="281">
        <v>0</v>
      </c>
      <c r="BH168" s="281">
        <v>0</v>
      </c>
      <c r="BI168" s="279"/>
      <c r="BJ168" s="279"/>
      <c r="BK168" s="279"/>
      <c r="BL168" s="279"/>
      <c r="BM168" s="279" t="s">
        <v>1548</v>
      </c>
      <c r="BN168" s="279"/>
      <c r="BO168" s="279"/>
      <c r="BP168" s="500">
        <f t="shared" si="233"/>
        <v>6.8000000000000005E-2</v>
      </c>
      <c r="BQ168" s="973">
        <f t="shared" si="234"/>
        <v>6.1000000000000006E-2</v>
      </c>
    </row>
    <row r="169" spans="1:69" s="460" customFormat="1" ht="15" customHeight="1">
      <c r="A169" s="281">
        <v>158</v>
      </c>
      <c r="B169" s="279">
        <v>439182638</v>
      </c>
      <c r="C169" s="279" t="s">
        <v>521</v>
      </c>
      <c r="D169" s="279" t="s">
        <v>528</v>
      </c>
      <c r="E169" s="279" t="s">
        <v>482</v>
      </c>
      <c r="F169" s="279" t="s">
        <v>474</v>
      </c>
      <c r="G169" s="279">
        <v>22100000</v>
      </c>
      <c r="H169" s="279">
        <v>1598</v>
      </c>
      <c r="I169" s="279">
        <v>0</v>
      </c>
      <c r="J169" s="279">
        <v>5</v>
      </c>
      <c r="K169" s="279" t="s">
        <v>475</v>
      </c>
      <c r="L169" s="279">
        <v>0</v>
      </c>
      <c r="M169" s="279" t="s">
        <v>111</v>
      </c>
      <c r="N169" s="279" t="s">
        <v>522</v>
      </c>
      <c r="O169" s="279" t="s">
        <v>128</v>
      </c>
      <c r="P169" s="279" t="s">
        <v>540</v>
      </c>
      <c r="Q169" s="279" t="s">
        <v>1293</v>
      </c>
      <c r="R169" s="279"/>
      <c r="S169" s="279">
        <v>0</v>
      </c>
      <c r="T169" s="279">
        <v>12.8</v>
      </c>
      <c r="U169" s="279" t="s">
        <v>489</v>
      </c>
      <c r="V169" s="279" t="s">
        <v>489</v>
      </c>
      <c r="W169" s="279" t="s">
        <v>473</v>
      </c>
      <c r="X169" s="279" t="s">
        <v>478</v>
      </c>
      <c r="Y169" s="279"/>
      <c r="Z169" s="279"/>
      <c r="AA169" s="279"/>
      <c r="AB169" s="279" t="s">
        <v>21</v>
      </c>
      <c r="AC169" s="279" t="s">
        <v>490</v>
      </c>
      <c r="AD169" s="279" t="s">
        <v>491</v>
      </c>
      <c r="AE169" s="279">
        <v>82638</v>
      </c>
      <c r="AF169" s="279" t="s">
        <v>473</v>
      </c>
      <c r="AG169" s="279"/>
      <c r="AH169" s="279"/>
      <c r="AI169" s="279">
        <v>20230509</v>
      </c>
      <c r="AJ169" s="462" t="s">
        <v>1151</v>
      </c>
      <c r="AK169" s="279"/>
      <c r="AL169" s="279" t="str">
        <f>IF(AB169="Y","단종모델",LEFT(N169,3)&amp;IFERROR(VLOOKUP(LEFT(N169,3)&amp;P169,#REF!,2,0),""))</f>
        <v>KIA</v>
      </c>
      <c r="AM169" s="469" t="str">
        <f>O169&amp;" "&amp;Q169&amp;" "&amp;R169</f>
        <v xml:space="preserve">셀토스 가솔린 터보 1.6 2WD </v>
      </c>
      <c r="AN169" s="279">
        <f>G169</f>
        <v>22100000</v>
      </c>
      <c r="AO169" s="279">
        <f>H169</f>
        <v>1598</v>
      </c>
      <c r="AP169" s="279" t="str">
        <f>LEFT(K169,1)</f>
        <v>M</v>
      </c>
      <c r="AQ169" s="279">
        <f>J169</f>
        <v>5</v>
      </c>
      <c r="AR169" s="279" t="str">
        <f>RIGHT(D169,2)</f>
        <v>RV</v>
      </c>
      <c r="AS169" s="279" t="str">
        <f>MID(W169,4,3)</f>
        <v>승용</v>
      </c>
      <c r="AT169" s="279" t="str">
        <f>RIGHT(AC169,2)</f>
        <v>7급</v>
      </c>
      <c r="AU169" s="279" t="str">
        <f>AB169</f>
        <v>07:광주</v>
      </c>
      <c r="AV169" s="279">
        <f t="shared" si="235"/>
        <v>1900</v>
      </c>
      <c r="AW169" s="279" t="str">
        <f>LEFT(F169,1)</f>
        <v>D</v>
      </c>
      <c r="AX169" s="279" t="str">
        <f>AJ169</f>
        <v>전략</v>
      </c>
      <c r="AY169" s="468">
        <v>0.03</v>
      </c>
      <c r="AZ169" s="468"/>
      <c r="BA169" s="279" t="s">
        <v>1553</v>
      </c>
      <c r="BB169" s="279" t="s">
        <v>1563</v>
      </c>
      <c r="BC169" s="279"/>
      <c r="BD169" s="279" t="s">
        <v>390</v>
      </c>
      <c r="BE169" s="279" t="str">
        <f t="shared" si="232"/>
        <v>기아</v>
      </c>
      <c r="BF169" s="581">
        <v>4.1000000000000002E-2</v>
      </c>
      <c r="BG169" s="281">
        <v>0</v>
      </c>
      <c r="BH169" s="281">
        <v>0</v>
      </c>
      <c r="BI169" s="279"/>
      <c r="BJ169" s="279"/>
      <c r="BK169" s="279"/>
      <c r="BL169" s="279"/>
      <c r="BM169" s="279" t="s">
        <v>1548</v>
      </c>
      <c r="BN169" s="279"/>
      <c r="BO169" s="279"/>
      <c r="BP169" s="500">
        <f t="shared" si="233"/>
        <v>6.8000000000000005E-2</v>
      </c>
      <c r="BQ169" s="973">
        <f>BP169-0.007</f>
        <v>6.1000000000000006E-2</v>
      </c>
    </row>
    <row r="170" spans="1:69" s="460" customFormat="1" ht="15" customHeight="1">
      <c r="A170" s="281">
        <v>159</v>
      </c>
      <c r="B170" s="279">
        <v>439182639</v>
      </c>
      <c r="C170" s="279" t="s">
        <v>521</v>
      </c>
      <c r="D170" s="279" t="s">
        <v>528</v>
      </c>
      <c r="E170" s="279" t="s">
        <v>482</v>
      </c>
      <c r="F170" s="279" t="s">
        <v>474</v>
      </c>
      <c r="G170" s="279">
        <v>23900000</v>
      </c>
      <c r="H170" s="279">
        <v>1598</v>
      </c>
      <c r="I170" s="279">
        <v>0</v>
      </c>
      <c r="J170" s="279">
        <v>5</v>
      </c>
      <c r="K170" s="279" t="s">
        <v>475</v>
      </c>
      <c r="L170" s="279">
        <v>0</v>
      </c>
      <c r="M170" s="279" t="s">
        <v>111</v>
      </c>
      <c r="N170" s="279" t="s">
        <v>522</v>
      </c>
      <c r="O170" s="279" t="s">
        <v>128</v>
      </c>
      <c r="P170" s="279" t="s">
        <v>540</v>
      </c>
      <c r="Q170" s="279" t="s">
        <v>1034</v>
      </c>
      <c r="R170" s="279"/>
      <c r="S170" s="279">
        <v>0</v>
      </c>
      <c r="T170" s="279">
        <v>11.8</v>
      </c>
      <c r="U170" s="279" t="s">
        <v>489</v>
      </c>
      <c r="V170" s="279" t="s">
        <v>489</v>
      </c>
      <c r="W170" s="279" t="s">
        <v>473</v>
      </c>
      <c r="X170" s="279" t="s">
        <v>478</v>
      </c>
      <c r="Y170" s="279"/>
      <c r="Z170" s="279"/>
      <c r="AA170" s="279"/>
      <c r="AB170" s="279" t="s">
        <v>21</v>
      </c>
      <c r="AC170" s="279" t="s">
        <v>490</v>
      </c>
      <c r="AD170" s="279" t="s">
        <v>491</v>
      </c>
      <c r="AE170" s="279">
        <v>82639</v>
      </c>
      <c r="AF170" s="279" t="s">
        <v>473</v>
      </c>
      <c r="AG170" s="279"/>
      <c r="AH170" s="279"/>
      <c r="AI170" s="279">
        <v>20230509</v>
      </c>
      <c r="AJ170" s="462" t="s">
        <v>1169</v>
      </c>
      <c r="AK170" s="279"/>
      <c r="AL170" s="279" t="str">
        <f>IF(AB170="Y","단종모델",LEFT(N170,3)&amp;IFERROR(VLOOKUP(LEFT(N170,3)&amp;P170,#REF!,2,0),""))</f>
        <v>KIA</v>
      </c>
      <c r="AM170" s="469" t="str">
        <f t="shared" si="225"/>
        <v xml:space="preserve">셀토스 가솔린 터보 1.6 4WD </v>
      </c>
      <c r="AN170" s="279">
        <f t="shared" si="236"/>
        <v>23900000</v>
      </c>
      <c r="AO170" s="279">
        <f t="shared" si="237"/>
        <v>1598</v>
      </c>
      <c r="AP170" s="279" t="str">
        <f t="shared" si="238"/>
        <v>M</v>
      </c>
      <c r="AQ170" s="279">
        <f t="shared" si="239"/>
        <v>5</v>
      </c>
      <c r="AR170" s="279" t="str">
        <f t="shared" si="240"/>
        <v>RV</v>
      </c>
      <c r="AS170" s="279" t="str">
        <f t="shared" si="241"/>
        <v>승용</v>
      </c>
      <c r="AT170" s="279" t="str">
        <f t="shared" ref="AT170:AT204" si="242">RIGHT(AC170,2)</f>
        <v>7급</v>
      </c>
      <c r="AU170" s="279" t="str">
        <f t="shared" ref="AU170:AU204" si="243">AB170</f>
        <v>07:광주</v>
      </c>
      <c r="AV170" s="279">
        <f t="shared" si="235"/>
        <v>1900</v>
      </c>
      <c r="AW170" s="279" t="str">
        <f t="shared" ref="AW170:AW204" si="244">LEFT(F170,1)</f>
        <v>D</v>
      </c>
      <c r="AX170" s="279" t="str">
        <f t="shared" si="216"/>
        <v>전략</v>
      </c>
      <c r="AY170" s="468">
        <v>0.03</v>
      </c>
      <c r="AZ170" s="468"/>
      <c r="BA170" s="279" t="s">
        <v>1553</v>
      </c>
      <c r="BB170" s="279" t="s">
        <v>1563</v>
      </c>
      <c r="BC170" s="279"/>
      <c r="BD170" s="279" t="s">
        <v>1281</v>
      </c>
      <c r="BE170" s="279" t="str">
        <f t="shared" si="232"/>
        <v>기아</v>
      </c>
      <c r="BF170" s="581">
        <v>4.1000000000000002E-2</v>
      </c>
      <c r="BG170" s="281">
        <v>0</v>
      </c>
      <c r="BH170" s="281">
        <v>0</v>
      </c>
      <c r="BI170" s="279"/>
      <c r="BJ170" s="279"/>
      <c r="BK170" s="279"/>
      <c r="BL170" s="279"/>
      <c r="BM170" s="279" t="s">
        <v>1548</v>
      </c>
      <c r="BN170" s="279"/>
      <c r="BO170" s="279"/>
      <c r="BP170" s="500">
        <f t="shared" si="233"/>
        <v>6.8000000000000005E-2</v>
      </c>
      <c r="BQ170" s="973">
        <f t="shared" si="234"/>
        <v>6.1000000000000006E-2</v>
      </c>
    </row>
    <row r="171" spans="1:69" s="460" customFormat="1" ht="15" customHeight="1">
      <c r="A171" s="281">
        <v>160</v>
      </c>
      <c r="B171" s="279">
        <v>439182648</v>
      </c>
      <c r="C171" s="279" t="s">
        <v>521</v>
      </c>
      <c r="D171" s="279" t="s">
        <v>528</v>
      </c>
      <c r="E171" s="279" t="s">
        <v>482</v>
      </c>
      <c r="F171" s="279" t="s">
        <v>474</v>
      </c>
      <c r="G171" s="279">
        <v>21100000</v>
      </c>
      <c r="H171" s="279">
        <v>1999</v>
      </c>
      <c r="I171" s="279">
        <v>0</v>
      </c>
      <c r="J171" s="279">
        <v>5</v>
      </c>
      <c r="K171" s="279" t="s">
        <v>475</v>
      </c>
      <c r="L171" s="279">
        <v>0</v>
      </c>
      <c r="M171" s="279" t="s">
        <v>111</v>
      </c>
      <c r="N171" s="279" t="s">
        <v>522</v>
      </c>
      <c r="O171" s="279" t="s">
        <v>128</v>
      </c>
      <c r="P171" s="279" t="s">
        <v>540</v>
      </c>
      <c r="Q171" s="279" t="s">
        <v>1035</v>
      </c>
      <c r="R171" s="279"/>
      <c r="S171" s="279">
        <v>0</v>
      </c>
      <c r="T171" s="279">
        <v>12.9</v>
      </c>
      <c r="U171" s="279" t="s">
        <v>489</v>
      </c>
      <c r="V171" s="279" t="s">
        <v>489</v>
      </c>
      <c r="W171" s="279" t="s">
        <v>473</v>
      </c>
      <c r="X171" s="279" t="s">
        <v>498</v>
      </c>
      <c r="Y171" s="279"/>
      <c r="Z171" s="279"/>
      <c r="AA171" s="279"/>
      <c r="AB171" s="279" t="s">
        <v>21</v>
      </c>
      <c r="AC171" s="279" t="s">
        <v>490</v>
      </c>
      <c r="AD171" s="279" t="s">
        <v>491</v>
      </c>
      <c r="AE171" s="279">
        <v>82648</v>
      </c>
      <c r="AF171" s="279" t="s">
        <v>473</v>
      </c>
      <c r="AG171" s="279"/>
      <c r="AH171" s="279"/>
      <c r="AI171" s="279">
        <v>20230509</v>
      </c>
      <c r="AJ171" s="462" t="s">
        <v>1169</v>
      </c>
      <c r="AK171" s="279"/>
      <c r="AL171" s="279" t="str">
        <f>IF(AB171="Y","단종모델",LEFT(N171,3)&amp;IFERROR(VLOOKUP(LEFT(N171,3)&amp;P171,#REF!,2,0),""))</f>
        <v>KIA</v>
      </c>
      <c r="AM171" s="469" t="str">
        <f t="shared" si="225"/>
        <v xml:space="preserve">셀토스 가솔린 2.0 2WD </v>
      </c>
      <c r="AN171" s="279">
        <f t="shared" si="236"/>
        <v>21100000</v>
      </c>
      <c r="AO171" s="279">
        <f t="shared" si="237"/>
        <v>1999</v>
      </c>
      <c r="AP171" s="279" t="str">
        <f t="shared" si="238"/>
        <v>M</v>
      </c>
      <c r="AQ171" s="279">
        <f t="shared" si="239"/>
        <v>5</v>
      </c>
      <c r="AR171" s="279" t="str">
        <f t="shared" si="240"/>
        <v>RV</v>
      </c>
      <c r="AS171" s="279" t="str">
        <f t="shared" si="241"/>
        <v>승용</v>
      </c>
      <c r="AT171" s="279" t="str">
        <f t="shared" si="242"/>
        <v>7급</v>
      </c>
      <c r="AU171" s="279" t="str">
        <f t="shared" si="243"/>
        <v>07:광주</v>
      </c>
      <c r="AV171" s="279">
        <f t="shared" si="235"/>
        <v>1900</v>
      </c>
      <c r="AW171" s="279" t="str">
        <f t="shared" si="244"/>
        <v>D</v>
      </c>
      <c r="AX171" s="279" t="str">
        <f t="shared" ref="AX171:AX246" si="245">AJ171</f>
        <v>전략</v>
      </c>
      <c r="AY171" s="468">
        <v>0.03</v>
      </c>
      <c r="AZ171" s="468"/>
      <c r="BA171" s="279" t="s">
        <v>1553</v>
      </c>
      <c r="BB171" s="279" t="s">
        <v>1551</v>
      </c>
      <c r="BC171" s="279"/>
      <c r="BD171" s="279" t="s">
        <v>1281</v>
      </c>
      <c r="BE171" s="279" t="str">
        <f t="shared" si="232"/>
        <v>기아</v>
      </c>
      <c r="BF171" s="581">
        <v>4.1000000000000002E-2</v>
      </c>
      <c r="BG171" s="281">
        <v>0</v>
      </c>
      <c r="BH171" s="281">
        <v>0</v>
      </c>
      <c r="BI171" s="279"/>
      <c r="BJ171" s="279"/>
      <c r="BK171" s="279"/>
      <c r="BL171" s="279"/>
      <c r="BM171" s="279" t="s">
        <v>1548</v>
      </c>
      <c r="BN171" s="279"/>
      <c r="BO171" s="279"/>
      <c r="BP171" s="500">
        <f t="shared" si="233"/>
        <v>6.8000000000000005E-2</v>
      </c>
      <c r="BQ171" s="973">
        <f t="shared" si="234"/>
        <v>6.1000000000000006E-2</v>
      </c>
    </row>
    <row r="172" spans="1:69" s="460" customFormat="1" ht="15" customHeight="1">
      <c r="A172" s="281">
        <v>161</v>
      </c>
      <c r="B172" s="279">
        <v>439182649</v>
      </c>
      <c r="C172" s="279" t="s">
        <v>521</v>
      </c>
      <c r="D172" s="279" t="s">
        <v>528</v>
      </c>
      <c r="E172" s="279" t="s">
        <v>482</v>
      </c>
      <c r="F172" s="279" t="s">
        <v>474</v>
      </c>
      <c r="G172" s="279">
        <v>22900000</v>
      </c>
      <c r="H172" s="279">
        <v>1999</v>
      </c>
      <c r="I172" s="279">
        <v>0</v>
      </c>
      <c r="J172" s="279">
        <v>5</v>
      </c>
      <c r="K172" s="279" t="s">
        <v>475</v>
      </c>
      <c r="L172" s="279">
        <v>0</v>
      </c>
      <c r="M172" s="279" t="s">
        <v>111</v>
      </c>
      <c r="N172" s="279" t="s">
        <v>522</v>
      </c>
      <c r="O172" s="279" t="s">
        <v>128</v>
      </c>
      <c r="P172" s="279" t="s">
        <v>540</v>
      </c>
      <c r="Q172" s="279" t="s">
        <v>1036</v>
      </c>
      <c r="R172" s="279"/>
      <c r="S172" s="279">
        <v>0</v>
      </c>
      <c r="T172" s="279">
        <v>12.2</v>
      </c>
      <c r="U172" s="279" t="s">
        <v>489</v>
      </c>
      <c r="V172" s="279" t="s">
        <v>489</v>
      </c>
      <c r="W172" s="279" t="s">
        <v>473</v>
      </c>
      <c r="X172" s="279" t="s">
        <v>498</v>
      </c>
      <c r="Y172" s="279"/>
      <c r="Z172" s="279"/>
      <c r="AA172" s="279"/>
      <c r="AB172" s="279" t="s">
        <v>21</v>
      </c>
      <c r="AC172" s="279" t="s">
        <v>490</v>
      </c>
      <c r="AD172" s="279" t="s">
        <v>491</v>
      </c>
      <c r="AE172" s="279">
        <v>82649</v>
      </c>
      <c r="AF172" s="279" t="s">
        <v>473</v>
      </c>
      <c r="AG172" s="279"/>
      <c r="AH172" s="279"/>
      <c r="AI172" s="279">
        <v>20230509</v>
      </c>
      <c r="AJ172" s="462" t="s">
        <v>1169</v>
      </c>
      <c r="AK172" s="279"/>
      <c r="AL172" s="279" t="str">
        <f>IF(AB172="Y","단종모델",LEFT(N172,3)&amp;IFERROR(VLOOKUP(LEFT(N172,3)&amp;P172,#REF!,2,0),""))</f>
        <v>KIA</v>
      </c>
      <c r="AM172" s="469" t="str">
        <f t="shared" si="225"/>
        <v xml:space="preserve">셀토스 가솔린 2.0 4WD </v>
      </c>
      <c r="AN172" s="279">
        <f t="shared" si="236"/>
        <v>22900000</v>
      </c>
      <c r="AO172" s="279">
        <f t="shared" si="237"/>
        <v>1999</v>
      </c>
      <c r="AP172" s="279" t="str">
        <f t="shared" si="238"/>
        <v>M</v>
      </c>
      <c r="AQ172" s="279">
        <f t="shared" si="239"/>
        <v>5</v>
      </c>
      <c r="AR172" s="279" t="str">
        <f t="shared" si="240"/>
        <v>RV</v>
      </c>
      <c r="AS172" s="279" t="str">
        <f t="shared" si="241"/>
        <v>승용</v>
      </c>
      <c r="AT172" s="279" t="str">
        <f t="shared" si="242"/>
        <v>7급</v>
      </c>
      <c r="AU172" s="279" t="str">
        <f t="shared" si="243"/>
        <v>07:광주</v>
      </c>
      <c r="AV172" s="279">
        <f t="shared" si="235"/>
        <v>1900</v>
      </c>
      <c r="AW172" s="279" t="str">
        <f t="shared" si="244"/>
        <v>D</v>
      </c>
      <c r="AX172" s="279" t="str">
        <f t="shared" si="245"/>
        <v>전략</v>
      </c>
      <c r="AY172" s="468">
        <v>0.03</v>
      </c>
      <c r="AZ172" s="468"/>
      <c r="BA172" s="279" t="s">
        <v>1553</v>
      </c>
      <c r="BB172" s="279" t="s">
        <v>1551</v>
      </c>
      <c r="BC172" s="279"/>
      <c r="BD172" s="279" t="s">
        <v>1281</v>
      </c>
      <c r="BE172" s="279" t="str">
        <f t="shared" si="232"/>
        <v>기아</v>
      </c>
      <c r="BF172" s="581">
        <v>4.1000000000000002E-2</v>
      </c>
      <c r="BG172" s="281">
        <v>0</v>
      </c>
      <c r="BH172" s="281">
        <v>0</v>
      </c>
      <c r="BI172" s="279"/>
      <c r="BJ172" s="279"/>
      <c r="BK172" s="279"/>
      <c r="BL172" s="279"/>
      <c r="BM172" s="279" t="s">
        <v>1548</v>
      </c>
      <c r="BN172" s="279"/>
      <c r="BO172" s="279"/>
      <c r="BP172" s="500">
        <f t="shared" si="233"/>
        <v>6.8000000000000005E-2</v>
      </c>
      <c r="BQ172" s="973">
        <f t="shared" si="234"/>
        <v>6.1000000000000006E-2</v>
      </c>
    </row>
    <row r="173" spans="1:69" s="460" customFormat="1" ht="15" customHeight="1">
      <c r="A173" s="281">
        <v>162</v>
      </c>
      <c r="B173" s="279">
        <v>442986798</v>
      </c>
      <c r="C173" s="279" t="s">
        <v>514</v>
      </c>
      <c r="D173" s="279" t="s">
        <v>528</v>
      </c>
      <c r="E173" s="279" t="s">
        <v>482</v>
      </c>
      <c r="F173" s="279" t="s">
        <v>474</v>
      </c>
      <c r="G173" s="279">
        <v>21880000</v>
      </c>
      <c r="H173" s="279">
        <v>1199</v>
      </c>
      <c r="I173" s="279">
        <v>0</v>
      </c>
      <c r="J173" s="279">
        <v>5</v>
      </c>
      <c r="K173" s="279" t="s">
        <v>475</v>
      </c>
      <c r="L173" s="279">
        <v>0</v>
      </c>
      <c r="M173" s="279" t="s">
        <v>515</v>
      </c>
      <c r="N173" s="279" t="s">
        <v>516</v>
      </c>
      <c r="O173" s="279" t="s">
        <v>1317</v>
      </c>
      <c r="P173" s="279" t="s">
        <v>1318</v>
      </c>
      <c r="Q173" s="279" t="s">
        <v>1316</v>
      </c>
      <c r="R173" s="279"/>
      <c r="S173" s="279">
        <v>50</v>
      </c>
      <c r="T173" s="279">
        <v>12.7</v>
      </c>
      <c r="U173" s="279" t="s">
        <v>512</v>
      </c>
      <c r="V173" s="279" t="s">
        <v>512</v>
      </c>
      <c r="W173" s="279" t="s">
        <v>473</v>
      </c>
      <c r="X173" s="279" t="s">
        <v>478</v>
      </c>
      <c r="Y173" s="279"/>
      <c r="Z173" s="279"/>
      <c r="AA173" s="279"/>
      <c r="AB173" s="279" t="s">
        <v>25</v>
      </c>
      <c r="AC173" s="279" t="s">
        <v>490</v>
      </c>
      <c r="AD173" s="279" t="s">
        <v>534</v>
      </c>
      <c r="AE173" s="279">
        <v>86798</v>
      </c>
      <c r="AF173" s="279" t="s">
        <v>473</v>
      </c>
      <c r="AG173" s="279"/>
      <c r="AH173" s="279"/>
      <c r="AI173" s="279">
        <v>20240318</v>
      </c>
      <c r="AJ173" s="462" t="s">
        <v>1151</v>
      </c>
      <c r="AK173" s="279"/>
      <c r="AL173" s="279" t="str">
        <f>IF(AB173="Y","단종모델",LEFT(N173,3)&amp;IFERROR(VLOOKUP(LEFT(N173,3)&amp;P173,#REF!,2,0),""))</f>
        <v>KGM</v>
      </c>
      <c r="AM173" s="469" t="str">
        <f t="shared" ref="AM173:AM232" si="246">O173&amp;" "&amp;Q173&amp;" "&amp;R173</f>
        <v xml:space="preserve">트랙스 크로스오버 가솔린 터보 1.2 </v>
      </c>
      <c r="AN173" s="279">
        <f t="shared" si="236"/>
        <v>21880000</v>
      </c>
      <c r="AO173" s="279">
        <f t="shared" si="237"/>
        <v>1199</v>
      </c>
      <c r="AP173" s="279" t="str">
        <f t="shared" si="238"/>
        <v>M</v>
      </c>
      <c r="AQ173" s="279">
        <f t="shared" si="239"/>
        <v>5</v>
      </c>
      <c r="AR173" s="279" t="str">
        <f t="shared" si="240"/>
        <v>RV</v>
      </c>
      <c r="AS173" s="279" t="str">
        <f t="shared" si="241"/>
        <v>승용</v>
      </c>
      <c r="AT173" s="279" t="str">
        <f t="shared" si="242"/>
        <v>7급</v>
      </c>
      <c r="AU173" s="279" t="str">
        <f t="shared" si="243"/>
        <v>11:창원</v>
      </c>
      <c r="AV173" s="279">
        <f t="shared" si="235"/>
        <v>0</v>
      </c>
      <c r="AW173" s="279" t="str">
        <f t="shared" si="244"/>
        <v>D</v>
      </c>
      <c r="AX173" s="279" t="str">
        <f t="shared" si="245"/>
        <v>전략</v>
      </c>
      <c r="AY173" s="1166">
        <v>6.5000000000000002E-2</v>
      </c>
      <c r="AZ173" s="468"/>
      <c r="BA173" s="279" t="s">
        <v>1642</v>
      </c>
      <c r="BB173" s="279" t="s">
        <v>822</v>
      </c>
      <c r="BC173" s="279"/>
      <c r="BD173" s="279" t="s">
        <v>1474</v>
      </c>
      <c r="BE173" s="279" t="str">
        <f t="shared" si="232"/>
        <v>쉐보레</v>
      </c>
      <c r="BF173" s="581">
        <v>2.87E-2</v>
      </c>
      <c r="BG173" s="281">
        <v>0</v>
      </c>
      <c r="BH173" s="281">
        <v>0</v>
      </c>
      <c r="BI173" s="279"/>
      <c r="BJ173" s="279"/>
      <c r="BK173" s="279"/>
      <c r="BL173" s="279"/>
      <c r="BM173" s="279" t="s">
        <v>1548</v>
      </c>
      <c r="BN173" s="279"/>
      <c r="BO173" s="279"/>
      <c r="BP173" s="500">
        <f t="shared" si="233"/>
        <v>6.8000000000000005E-2</v>
      </c>
      <c r="BQ173" s="973">
        <f t="shared" si="234"/>
        <v>6.1000000000000006E-2</v>
      </c>
    </row>
    <row r="174" spans="1:69" s="460" customFormat="1" ht="15" customHeight="1">
      <c r="A174" s="281">
        <v>163</v>
      </c>
      <c r="B174" s="279">
        <v>385179522</v>
      </c>
      <c r="C174" s="279" t="s">
        <v>514</v>
      </c>
      <c r="D174" s="279" t="s">
        <v>528</v>
      </c>
      <c r="E174" s="279" t="s">
        <v>482</v>
      </c>
      <c r="F174" s="279" t="s">
        <v>474</v>
      </c>
      <c r="G174" s="279">
        <v>40910000</v>
      </c>
      <c r="H174" s="279">
        <v>1490</v>
      </c>
      <c r="I174" s="279">
        <v>0</v>
      </c>
      <c r="J174" s="279">
        <v>5</v>
      </c>
      <c r="K174" s="279" t="s">
        <v>475</v>
      </c>
      <c r="L174" s="279">
        <v>0</v>
      </c>
      <c r="M174" s="279" t="s">
        <v>515</v>
      </c>
      <c r="N174" s="279" t="s">
        <v>516</v>
      </c>
      <c r="O174" s="279" t="s">
        <v>942</v>
      </c>
      <c r="P174" s="279" t="s">
        <v>131</v>
      </c>
      <c r="Q174" s="279" t="s">
        <v>943</v>
      </c>
      <c r="R174" s="279"/>
      <c r="S174" s="279">
        <v>59</v>
      </c>
      <c r="T174" s="279">
        <v>10.6</v>
      </c>
      <c r="U174" s="279" t="s">
        <v>941</v>
      </c>
      <c r="V174" s="279" t="s">
        <v>941</v>
      </c>
      <c r="W174" s="279" t="s">
        <v>473</v>
      </c>
      <c r="X174" s="279" t="s">
        <v>478</v>
      </c>
      <c r="Y174" s="279"/>
      <c r="Z174" s="279"/>
      <c r="AA174" s="279"/>
      <c r="AB174" s="279" t="s">
        <v>23</v>
      </c>
      <c r="AC174" s="279" t="s">
        <v>490</v>
      </c>
      <c r="AD174" s="279" t="s">
        <v>491</v>
      </c>
      <c r="AE174" s="279">
        <v>79522</v>
      </c>
      <c r="AF174" s="279" t="s">
        <v>473</v>
      </c>
      <c r="AG174" s="279"/>
      <c r="AH174" s="279"/>
      <c r="AI174" s="279">
        <v>20230509</v>
      </c>
      <c r="AJ174" s="462" t="s">
        <v>1219</v>
      </c>
      <c r="AK174" s="279"/>
      <c r="AL174" s="279" t="str">
        <f>IF(AB174="Y","단종모델",LEFT(N174,3)&amp;IFERROR(VLOOKUP(LEFT(N174,3)&amp;P174,#REF!,2,0),""))</f>
        <v>KGM</v>
      </c>
      <c r="AM174" s="469" t="str">
        <f t="shared" si="246"/>
        <v xml:space="preserve">이쿼녹스 가솔린 1.5 </v>
      </c>
      <c r="AN174" s="279">
        <f t="shared" si="236"/>
        <v>40910000</v>
      </c>
      <c r="AO174" s="279">
        <f t="shared" si="237"/>
        <v>1490</v>
      </c>
      <c r="AP174" s="279" t="str">
        <f t="shared" si="238"/>
        <v>M</v>
      </c>
      <c r="AQ174" s="279">
        <f t="shared" si="239"/>
        <v>5</v>
      </c>
      <c r="AR174" s="279" t="str">
        <f t="shared" si="240"/>
        <v>RV</v>
      </c>
      <c r="AS174" s="279" t="str">
        <f t="shared" si="241"/>
        <v>승용</v>
      </c>
      <c r="AT174" s="279" t="str">
        <f t="shared" si="242"/>
        <v>7급</v>
      </c>
      <c r="AU174" s="279" t="str">
        <f t="shared" si="243"/>
        <v>09:인천</v>
      </c>
      <c r="AV174" s="279">
        <f t="shared" si="235"/>
        <v>0</v>
      </c>
      <c r="AW174" s="279" t="str">
        <f t="shared" si="244"/>
        <v>D</v>
      </c>
      <c r="AX174" s="279" t="str">
        <f t="shared" si="245"/>
        <v>일반</v>
      </c>
      <c r="AY174" s="468">
        <v>0.08</v>
      </c>
      <c r="AZ174" s="468"/>
      <c r="BA174" s="279"/>
      <c r="BB174" s="279" t="s">
        <v>978</v>
      </c>
      <c r="BC174" s="279"/>
      <c r="BD174" s="279" t="s">
        <v>1474</v>
      </c>
      <c r="BE174" s="279" t="str">
        <f t="shared" si="232"/>
        <v>쉐보레</v>
      </c>
      <c r="BF174" s="581">
        <v>2.87E-2</v>
      </c>
      <c r="BG174" s="281">
        <v>0</v>
      </c>
      <c r="BH174" s="281">
        <v>0</v>
      </c>
      <c r="BI174" s="279"/>
      <c r="BJ174" s="279"/>
      <c r="BK174" s="279"/>
      <c r="BL174" s="279"/>
      <c r="BM174" s="279" t="s">
        <v>1548</v>
      </c>
      <c r="BN174" s="279"/>
      <c r="BO174" s="279"/>
      <c r="BP174" s="500">
        <f t="shared" si="233"/>
        <v>9.2999999999999999E-2</v>
      </c>
      <c r="BQ174" s="973">
        <f t="shared" si="234"/>
        <v>8.5999999999999993E-2</v>
      </c>
    </row>
    <row r="175" spans="1:69" s="460" customFormat="1" ht="15" customHeight="1">
      <c r="A175" s="281">
        <v>164</v>
      </c>
      <c r="B175" s="464">
        <v>354362445</v>
      </c>
      <c r="C175" s="464" t="s">
        <v>514</v>
      </c>
      <c r="D175" s="464" t="s">
        <v>528</v>
      </c>
      <c r="E175" s="464" t="s">
        <v>482</v>
      </c>
      <c r="F175" s="464" t="s">
        <v>474</v>
      </c>
      <c r="G175" s="464">
        <v>45200000</v>
      </c>
      <c r="H175" s="464">
        <v>3564</v>
      </c>
      <c r="I175" s="464">
        <v>0</v>
      </c>
      <c r="J175" s="464">
        <v>7</v>
      </c>
      <c r="K175" s="464" t="s">
        <v>475</v>
      </c>
      <c r="L175" s="464">
        <v>0</v>
      </c>
      <c r="M175" s="464" t="s">
        <v>515</v>
      </c>
      <c r="N175" s="464" t="s">
        <v>516</v>
      </c>
      <c r="O175" s="464" t="s">
        <v>132</v>
      </c>
      <c r="P175" s="464" t="s">
        <v>541</v>
      </c>
      <c r="Q175" s="464" t="s">
        <v>542</v>
      </c>
      <c r="R175" s="464"/>
      <c r="S175" s="464">
        <v>82.1</v>
      </c>
      <c r="T175" s="464">
        <v>8.3000000000000007</v>
      </c>
      <c r="U175" s="464" t="s">
        <v>543</v>
      </c>
      <c r="V175" s="464" t="s">
        <v>543</v>
      </c>
      <c r="W175" s="464" t="s">
        <v>507</v>
      </c>
      <c r="X175" s="464" t="s">
        <v>484</v>
      </c>
      <c r="Y175" s="282"/>
      <c r="Z175" s="282"/>
      <c r="AA175" s="282"/>
      <c r="AB175" s="282" t="s">
        <v>26</v>
      </c>
      <c r="AC175" s="465" t="s">
        <v>490</v>
      </c>
      <c r="AD175" s="465" t="s">
        <v>491</v>
      </c>
      <c r="AE175" s="465">
        <v>62445</v>
      </c>
      <c r="AF175" s="465" t="s">
        <v>507</v>
      </c>
      <c r="AG175" s="465"/>
      <c r="AH175" s="465">
        <v>0</v>
      </c>
      <c r="AI175" s="279">
        <v>20230509</v>
      </c>
      <c r="AJ175" s="462" t="s">
        <v>1151</v>
      </c>
      <c r="AK175" s="279"/>
      <c r="AL175" s="279" t="str">
        <f>IF(AB175="Y","단종모델",LEFT(N175,3)&amp;IFERROR(VLOOKUP(LEFT(N175,3)&amp;P175,#REF!,2,0),""))</f>
        <v>KGM</v>
      </c>
      <c r="AM175" s="469" t="str">
        <f t="shared" si="246"/>
        <v xml:space="preserve">트래버스 가솔린 3.6 </v>
      </c>
      <c r="AN175" s="279">
        <f t="shared" si="236"/>
        <v>45200000</v>
      </c>
      <c r="AO175" s="279">
        <f t="shared" si="237"/>
        <v>3564</v>
      </c>
      <c r="AP175" s="279" t="str">
        <f t="shared" si="238"/>
        <v>M</v>
      </c>
      <c r="AQ175" s="279">
        <f t="shared" si="239"/>
        <v>7</v>
      </c>
      <c r="AR175" s="279" t="str">
        <f t="shared" si="240"/>
        <v>RV</v>
      </c>
      <c r="AS175" s="279" t="str">
        <f t="shared" si="241"/>
        <v>다인승</v>
      </c>
      <c r="AT175" s="279" t="str">
        <f t="shared" si="242"/>
        <v>7급</v>
      </c>
      <c r="AU175" s="279" t="str">
        <f t="shared" si="243"/>
        <v>12:평택</v>
      </c>
      <c r="AV175" s="279">
        <f t="shared" si="235"/>
        <v>0</v>
      </c>
      <c r="AW175" s="279" t="str">
        <f t="shared" si="244"/>
        <v>D</v>
      </c>
      <c r="AX175" s="279" t="str">
        <f t="shared" si="245"/>
        <v>전략</v>
      </c>
      <c r="AY175" s="468">
        <v>0.12</v>
      </c>
      <c r="AZ175" s="468"/>
      <c r="BA175" s="279" t="s">
        <v>1690</v>
      </c>
      <c r="BB175" s="279" t="s">
        <v>1651</v>
      </c>
      <c r="BC175" s="279"/>
      <c r="BD175" s="279" t="s">
        <v>1474</v>
      </c>
      <c r="BE175" s="279" t="str">
        <f t="shared" si="232"/>
        <v>쉐보레</v>
      </c>
      <c r="BF175" s="581">
        <v>2.87E-2</v>
      </c>
      <c r="BG175" s="281">
        <v>0</v>
      </c>
      <c r="BH175" s="281">
        <v>0</v>
      </c>
      <c r="BI175" s="279"/>
      <c r="BJ175" s="279"/>
      <c r="BK175" s="279"/>
      <c r="BL175" s="279"/>
      <c r="BM175" s="279" t="s">
        <v>1548</v>
      </c>
      <c r="BN175" s="279"/>
      <c r="BO175" s="279"/>
      <c r="BP175" s="500">
        <f t="shared" si="233"/>
        <v>6.8000000000000005E-2</v>
      </c>
      <c r="BQ175" s="973">
        <f t="shared" si="234"/>
        <v>6.1000000000000006E-2</v>
      </c>
    </row>
    <row r="176" spans="1:69" s="460" customFormat="1" ht="15" customHeight="1">
      <c r="A176" s="281">
        <v>165</v>
      </c>
      <c r="B176" s="279">
        <v>447486154</v>
      </c>
      <c r="C176" s="279" t="s">
        <v>514</v>
      </c>
      <c r="D176" s="279" t="s">
        <v>528</v>
      </c>
      <c r="E176" s="279" t="s">
        <v>482</v>
      </c>
      <c r="F176" s="279" t="s">
        <v>474</v>
      </c>
      <c r="G176" s="279">
        <v>26990000</v>
      </c>
      <c r="H176" s="279">
        <v>1341</v>
      </c>
      <c r="I176" s="279">
        <v>0</v>
      </c>
      <c r="J176" s="279">
        <v>5</v>
      </c>
      <c r="K176" s="279" t="s">
        <v>475</v>
      </c>
      <c r="L176" s="279">
        <v>0</v>
      </c>
      <c r="M176" s="279" t="s">
        <v>515</v>
      </c>
      <c r="N176" s="279" t="s">
        <v>516</v>
      </c>
      <c r="O176" s="279" t="s">
        <v>1159</v>
      </c>
      <c r="P176" s="279" t="s">
        <v>548</v>
      </c>
      <c r="Q176" s="279" t="s">
        <v>1160</v>
      </c>
      <c r="R176" s="279"/>
      <c r="S176" s="279">
        <v>50</v>
      </c>
      <c r="T176" s="279">
        <v>12.9</v>
      </c>
      <c r="U176" s="279" t="s">
        <v>512</v>
      </c>
      <c r="V176" s="279" t="s">
        <v>512</v>
      </c>
      <c r="W176" s="279" t="s">
        <v>473</v>
      </c>
      <c r="X176" s="279" t="s">
        <v>478</v>
      </c>
      <c r="Y176" s="282"/>
      <c r="Z176" s="282"/>
      <c r="AA176" s="282"/>
      <c r="AB176" s="282" t="s">
        <v>23</v>
      </c>
      <c r="AC176" s="279" t="s">
        <v>490</v>
      </c>
      <c r="AD176" s="279" t="s">
        <v>491</v>
      </c>
      <c r="AE176" s="279">
        <v>86154</v>
      </c>
      <c r="AF176" s="279" t="s">
        <v>473</v>
      </c>
      <c r="AG176" s="279"/>
      <c r="AH176" s="279">
        <v>0</v>
      </c>
      <c r="AI176" s="279">
        <v>20230731</v>
      </c>
      <c r="AJ176" s="462" t="s">
        <v>1151</v>
      </c>
      <c r="AK176" s="279"/>
      <c r="AL176" s="279" t="str">
        <f>IF(AB176="Y","단종모델",LEFT(N176,3)&amp;IFERROR(VLOOKUP(LEFT(N176,3)&amp;P176,#REF!,2,0),""))</f>
        <v>KGM</v>
      </c>
      <c r="AM176" s="469" t="str">
        <f t="shared" si="246"/>
        <v xml:space="preserve">트레일블레이저 가솔린 터보 1.35 </v>
      </c>
      <c r="AN176" s="279">
        <f t="shared" si="236"/>
        <v>26990000</v>
      </c>
      <c r="AO176" s="279">
        <f t="shared" si="237"/>
        <v>1341</v>
      </c>
      <c r="AP176" s="279" t="str">
        <f t="shared" si="238"/>
        <v>M</v>
      </c>
      <c r="AQ176" s="279">
        <f t="shared" si="239"/>
        <v>5</v>
      </c>
      <c r="AR176" s="279" t="str">
        <f t="shared" si="240"/>
        <v>RV</v>
      </c>
      <c r="AS176" s="279" t="str">
        <f t="shared" si="241"/>
        <v>승용</v>
      </c>
      <c r="AT176" s="279" t="str">
        <f t="shared" si="242"/>
        <v>7급</v>
      </c>
      <c r="AU176" s="279" t="str">
        <f t="shared" si="243"/>
        <v>09:인천</v>
      </c>
      <c r="AV176" s="279">
        <f t="shared" si="235"/>
        <v>0</v>
      </c>
      <c r="AW176" s="279" t="str">
        <f t="shared" si="244"/>
        <v>D</v>
      </c>
      <c r="AX176" s="279" t="str">
        <f t="shared" si="245"/>
        <v>전략</v>
      </c>
      <c r="AY176" s="468">
        <v>0.12</v>
      </c>
      <c r="AZ176" s="468"/>
      <c r="BA176" s="279" t="s">
        <v>1690</v>
      </c>
      <c r="BB176" s="279" t="s">
        <v>1651</v>
      </c>
      <c r="BC176" s="279"/>
      <c r="BD176" s="279" t="s">
        <v>1474</v>
      </c>
      <c r="BE176" s="279" t="str">
        <f t="shared" si="232"/>
        <v>쉐보레</v>
      </c>
      <c r="BF176" s="581">
        <v>2.87E-2</v>
      </c>
      <c r="BG176" s="281">
        <v>0</v>
      </c>
      <c r="BH176" s="281">
        <v>0</v>
      </c>
      <c r="BI176" s="279"/>
      <c r="BJ176" s="279"/>
      <c r="BK176" s="279"/>
      <c r="BL176" s="279"/>
      <c r="BM176" s="279" t="s">
        <v>1548</v>
      </c>
      <c r="BN176" s="279"/>
      <c r="BO176" s="279"/>
      <c r="BP176" s="500">
        <f t="shared" si="233"/>
        <v>6.8000000000000005E-2</v>
      </c>
      <c r="BQ176" s="973">
        <f t="shared" si="234"/>
        <v>6.1000000000000006E-2</v>
      </c>
    </row>
    <row r="177" spans="1:69" s="460" customFormat="1" ht="15" customHeight="1">
      <c r="A177" s="281">
        <v>166</v>
      </c>
      <c r="B177" s="279">
        <v>384677771</v>
      </c>
      <c r="C177" s="279" t="s">
        <v>514</v>
      </c>
      <c r="D177" s="279" t="s">
        <v>528</v>
      </c>
      <c r="E177" s="279" t="s">
        <v>482</v>
      </c>
      <c r="F177" s="279" t="s">
        <v>474</v>
      </c>
      <c r="G177" s="279">
        <v>92530000</v>
      </c>
      <c r="H177" s="279">
        <v>6162</v>
      </c>
      <c r="I177" s="279">
        <v>0</v>
      </c>
      <c r="J177" s="279">
        <v>7</v>
      </c>
      <c r="K177" s="279" t="s">
        <v>475</v>
      </c>
      <c r="L177" s="279">
        <v>0</v>
      </c>
      <c r="M177" s="279" t="s">
        <v>515</v>
      </c>
      <c r="N177" s="279" t="s">
        <v>516</v>
      </c>
      <c r="O177" s="279" t="s">
        <v>575</v>
      </c>
      <c r="P177" s="279" t="s">
        <v>576</v>
      </c>
      <c r="Q177" s="279" t="s">
        <v>1037</v>
      </c>
      <c r="R177" s="279"/>
      <c r="S177" s="279">
        <v>0</v>
      </c>
      <c r="T177" s="279">
        <v>6.8</v>
      </c>
      <c r="U177" s="279"/>
      <c r="V177" s="279"/>
      <c r="W177" s="279" t="s">
        <v>507</v>
      </c>
      <c r="X177" s="279" t="s">
        <v>484</v>
      </c>
      <c r="Y177" s="279"/>
      <c r="Z177" s="279"/>
      <c r="AA177" s="279"/>
      <c r="AB177" s="279" t="s">
        <v>23</v>
      </c>
      <c r="AC177" s="279" t="s">
        <v>490</v>
      </c>
      <c r="AD177" s="279" t="s">
        <v>491</v>
      </c>
      <c r="AE177" s="279">
        <v>77771</v>
      </c>
      <c r="AF177" s="279" t="s">
        <v>507</v>
      </c>
      <c r="AG177" s="279"/>
      <c r="AH177" s="279"/>
      <c r="AI177" s="279">
        <v>20230509</v>
      </c>
      <c r="AJ177" s="462" t="s">
        <v>1219</v>
      </c>
      <c r="AK177" s="279"/>
      <c r="AL177" s="279" t="str">
        <f>IF(AB177="Y","단종모델",LEFT(N177,3)&amp;IFERROR(VLOOKUP(LEFT(N177,3)&amp;P177,#REF!,2,0),""))</f>
        <v>KGM</v>
      </c>
      <c r="AM177" s="469" t="str">
        <f t="shared" si="246"/>
        <v xml:space="preserve">타호 가솔린 6.2 </v>
      </c>
      <c r="AN177" s="279">
        <f t="shared" si="236"/>
        <v>92530000</v>
      </c>
      <c r="AO177" s="279">
        <f t="shared" si="237"/>
        <v>6162</v>
      </c>
      <c r="AP177" s="279" t="str">
        <f t="shared" si="238"/>
        <v>M</v>
      </c>
      <c r="AQ177" s="279">
        <f t="shared" si="239"/>
        <v>7</v>
      </c>
      <c r="AR177" s="279" t="str">
        <f t="shared" si="240"/>
        <v>RV</v>
      </c>
      <c r="AS177" s="279" t="str">
        <f t="shared" si="241"/>
        <v>다인승</v>
      </c>
      <c r="AT177" s="279" t="str">
        <f t="shared" si="242"/>
        <v>7급</v>
      </c>
      <c r="AU177" s="279" t="str">
        <f t="shared" si="243"/>
        <v>09:인천</v>
      </c>
      <c r="AV177" s="279">
        <f t="shared" si="235"/>
        <v>0</v>
      </c>
      <c r="AW177" s="279" t="str">
        <f t="shared" si="244"/>
        <v>D</v>
      </c>
      <c r="AX177" s="279" t="str">
        <f t="shared" si="245"/>
        <v>일반</v>
      </c>
      <c r="AY177" s="468">
        <v>0.09</v>
      </c>
      <c r="AZ177" s="468"/>
      <c r="BA177" s="279" t="s">
        <v>1689</v>
      </c>
      <c r="BB177" s="279" t="s">
        <v>1652</v>
      </c>
      <c r="BC177" s="279"/>
      <c r="BD177" s="279" t="s">
        <v>1474</v>
      </c>
      <c r="BE177" s="279" t="str">
        <f t="shared" si="232"/>
        <v>쉐보레</v>
      </c>
      <c r="BF177" s="581">
        <v>2.87E-2</v>
      </c>
      <c r="BG177" s="281">
        <v>0</v>
      </c>
      <c r="BH177" s="281">
        <v>0</v>
      </c>
      <c r="BI177" s="279"/>
      <c r="BJ177" s="279"/>
      <c r="BK177" s="279"/>
      <c r="BL177" s="279"/>
      <c r="BM177" s="279" t="s">
        <v>1548</v>
      </c>
      <c r="BN177" s="279"/>
      <c r="BO177" s="279"/>
      <c r="BP177" s="500">
        <f t="shared" si="233"/>
        <v>9.2999999999999999E-2</v>
      </c>
      <c r="BQ177" s="973">
        <f t="shared" si="234"/>
        <v>8.5999999999999993E-2</v>
      </c>
    </row>
    <row r="178" spans="1:69" s="460" customFormat="1" ht="15" customHeight="1">
      <c r="A178" s="281">
        <v>167</v>
      </c>
      <c r="B178" s="279">
        <v>456087750</v>
      </c>
      <c r="C178" s="279" t="s">
        <v>526</v>
      </c>
      <c r="D178" s="279" t="s">
        <v>528</v>
      </c>
      <c r="E178" s="279" t="s">
        <v>482</v>
      </c>
      <c r="F178" s="279" t="s">
        <v>474</v>
      </c>
      <c r="G178" s="279">
        <v>29140000</v>
      </c>
      <c r="H178" s="279">
        <v>1332</v>
      </c>
      <c r="I178" s="279">
        <v>0</v>
      </c>
      <c r="J178" s="279">
        <v>5</v>
      </c>
      <c r="K178" s="279" t="s">
        <v>475</v>
      </c>
      <c r="L178" s="279">
        <v>0</v>
      </c>
      <c r="M178" s="279" t="s">
        <v>864</v>
      </c>
      <c r="N178" s="279" t="s">
        <v>865</v>
      </c>
      <c r="O178" s="279" t="s">
        <v>1409</v>
      </c>
      <c r="P178" s="279" t="s">
        <v>1410</v>
      </c>
      <c r="Q178" s="279" t="s">
        <v>1412</v>
      </c>
      <c r="R178" s="279"/>
      <c r="S178" s="279">
        <v>50</v>
      </c>
      <c r="T178" s="279">
        <v>13.2</v>
      </c>
      <c r="U178" s="279" t="s">
        <v>1411</v>
      </c>
      <c r="V178" s="279" t="s">
        <v>1411</v>
      </c>
      <c r="W178" s="279" t="s">
        <v>473</v>
      </c>
      <c r="X178" s="279" t="s">
        <v>478</v>
      </c>
      <c r="Y178" s="279"/>
      <c r="Z178" s="279"/>
      <c r="AA178" s="279"/>
      <c r="AB178" s="279" t="s">
        <v>22</v>
      </c>
      <c r="AC178" s="279" t="s">
        <v>490</v>
      </c>
      <c r="AD178" s="279" t="s">
        <v>491</v>
      </c>
      <c r="AE178" s="279">
        <v>87750</v>
      </c>
      <c r="AF178" s="279" t="s">
        <v>473</v>
      </c>
      <c r="AG178" s="279"/>
      <c r="AH178" s="279"/>
      <c r="AI178" s="279">
        <v>20240405</v>
      </c>
      <c r="AJ178" s="462" t="s">
        <v>1151</v>
      </c>
      <c r="AK178" s="279"/>
      <c r="AL178" s="279" t="str">
        <f>IF(AB178="Y","단종모델",LEFT(N178,3)&amp;IFERROR(VLOOKUP(LEFT(N178,3)&amp;P178,#REF!,2,0),""))</f>
        <v>RSM</v>
      </c>
      <c r="AM178" s="469" t="str">
        <f t="shared" si="246"/>
        <v xml:space="preserve">아르카나 가솔린 터보 1.3 </v>
      </c>
      <c r="AN178" s="279">
        <f t="shared" si="236"/>
        <v>29140000</v>
      </c>
      <c r="AO178" s="279">
        <f t="shared" si="237"/>
        <v>1332</v>
      </c>
      <c r="AP178" s="279" t="str">
        <f t="shared" si="238"/>
        <v>M</v>
      </c>
      <c r="AQ178" s="279">
        <f t="shared" si="239"/>
        <v>5</v>
      </c>
      <c r="AR178" s="279" t="str">
        <f t="shared" si="240"/>
        <v>RV</v>
      </c>
      <c r="AS178" s="279" t="str">
        <f t="shared" si="241"/>
        <v>승용</v>
      </c>
      <c r="AT178" s="279" t="str">
        <f t="shared" si="242"/>
        <v>7급</v>
      </c>
      <c r="AU178" s="279" t="str">
        <f t="shared" si="243"/>
        <v>08:부산</v>
      </c>
      <c r="AV178" s="279">
        <f t="shared" si="235"/>
        <v>0</v>
      </c>
      <c r="AW178" s="279" t="str">
        <f t="shared" si="244"/>
        <v>D</v>
      </c>
      <c r="AX178" s="279" t="str">
        <f t="shared" si="245"/>
        <v>전략</v>
      </c>
      <c r="AY178" s="468">
        <v>0.13</v>
      </c>
      <c r="AZ178" s="468"/>
      <c r="BA178" s="279" t="s">
        <v>1686</v>
      </c>
      <c r="BB178" s="279" t="s">
        <v>1653</v>
      </c>
      <c r="BC178" s="279"/>
      <c r="BD178" s="279" t="s">
        <v>1474</v>
      </c>
      <c r="BE178" s="279" t="str">
        <f t="shared" si="232"/>
        <v>르노코리아</v>
      </c>
      <c r="BF178" s="581">
        <v>4.1000000000000002E-2</v>
      </c>
      <c r="BG178" s="281">
        <v>0</v>
      </c>
      <c r="BH178" s="281">
        <v>0</v>
      </c>
      <c r="BI178" s="279"/>
      <c r="BJ178" s="279"/>
      <c r="BK178" s="279"/>
      <c r="BL178" s="279"/>
      <c r="BM178" s="279" t="s">
        <v>1548</v>
      </c>
      <c r="BN178" s="279"/>
      <c r="BO178" s="279"/>
      <c r="BP178" s="500">
        <f t="shared" si="233"/>
        <v>6.8000000000000005E-2</v>
      </c>
      <c r="BQ178" s="973">
        <f t="shared" si="234"/>
        <v>6.1000000000000006E-2</v>
      </c>
    </row>
    <row r="179" spans="1:69" s="460" customFormat="1" ht="15" customHeight="1">
      <c r="A179" s="281">
        <v>168</v>
      </c>
      <c r="B179" s="279">
        <v>456087751</v>
      </c>
      <c r="C179" s="279" t="s">
        <v>526</v>
      </c>
      <c r="D179" s="279" t="s">
        <v>528</v>
      </c>
      <c r="E179" s="279" t="s">
        <v>482</v>
      </c>
      <c r="F179" s="279" t="s">
        <v>474</v>
      </c>
      <c r="G179" s="279">
        <v>22850000</v>
      </c>
      <c r="H179" s="279">
        <v>1598</v>
      </c>
      <c r="I179" s="279">
        <v>0</v>
      </c>
      <c r="J179" s="279">
        <v>5</v>
      </c>
      <c r="K179" s="279" t="s">
        <v>475</v>
      </c>
      <c r="L179" s="279">
        <v>0</v>
      </c>
      <c r="M179" s="279" t="s">
        <v>864</v>
      </c>
      <c r="N179" s="279" t="s">
        <v>865</v>
      </c>
      <c r="O179" s="279" t="s">
        <v>1409</v>
      </c>
      <c r="P179" s="279" t="s">
        <v>1410</v>
      </c>
      <c r="Q179" s="279" t="s">
        <v>1413</v>
      </c>
      <c r="R179" s="279"/>
      <c r="S179" s="279">
        <v>50</v>
      </c>
      <c r="T179" s="279">
        <v>13.4</v>
      </c>
      <c r="U179" s="279" t="s">
        <v>549</v>
      </c>
      <c r="V179" s="279" t="s">
        <v>549</v>
      </c>
      <c r="W179" s="279" t="s">
        <v>473</v>
      </c>
      <c r="X179" s="279" t="s">
        <v>478</v>
      </c>
      <c r="Y179" s="279"/>
      <c r="Z179" s="279"/>
      <c r="AA179" s="279"/>
      <c r="AB179" s="279" t="s">
        <v>22</v>
      </c>
      <c r="AC179" s="279" t="s">
        <v>490</v>
      </c>
      <c r="AD179" s="279" t="s">
        <v>491</v>
      </c>
      <c r="AE179" s="279">
        <v>87751</v>
      </c>
      <c r="AF179" s="279" t="s">
        <v>473</v>
      </c>
      <c r="AG179" s="279"/>
      <c r="AH179" s="279"/>
      <c r="AI179" s="279">
        <v>20240405</v>
      </c>
      <c r="AJ179" s="462" t="s">
        <v>1151</v>
      </c>
      <c r="AK179" s="279"/>
      <c r="AL179" s="279" t="str">
        <f>IF(AB179="Y","단종모델",LEFT(N179,3)&amp;IFERROR(VLOOKUP(LEFT(N179,3)&amp;P179,#REF!,2,0),""))</f>
        <v>RSM</v>
      </c>
      <c r="AM179" s="469" t="str">
        <f t="shared" si="246"/>
        <v xml:space="preserve">아르카나 가솔린 1.6 </v>
      </c>
      <c r="AN179" s="279">
        <f t="shared" si="236"/>
        <v>22850000</v>
      </c>
      <c r="AO179" s="279">
        <f t="shared" si="237"/>
        <v>1598</v>
      </c>
      <c r="AP179" s="279" t="str">
        <f t="shared" si="238"/>
        <v>M</v>
      </c>
      <c r="AQ179" s="279">
        <f t="shared" si="239"/>
        <v>5</v>
      </c>
      <c r="AR179" s="279" t="str">
        <f t="shared" si="240"/>
        <v>RV</v>
      </c>
      <c r="AS179" s="279" t="str">
        <f t="shared" si="241"/>
        <v>승용</v>
      </c>
      <c r="AT179" s="279" t="str">
        <f t="shared" si="242"/>
        <v>7급</v>
      </c>
      <c r="AU179" s="279" t="str">
        <f t="shared" si="243"/>
        <v>08:부산</v>
      </c>
      <c r="AV179" s="279">
        <f t="shared" si="235"/>
        <v>0</v>
      </c>
      <c r="AW179" s="279" t="str">
        <f t="shared" si="244"/>
        <v>D</v>
      </c>
      <c r="AX179" s="279" t="str">
        <f t="shared" si="245"/>
        <v>전략</v>
      </c>
      <c r="AY179" s="468">
        <v>0.13</v>
      </c>
      <c r="AZ179" s="468"/>
      <c r="BA179" s="279" t="s">
        <v>1686</v>
      </c>
      <c r="BB179" s="279" t="s">
        <v>1653</v>
      </c>
      <c r="BC179" s="279"/>
      <c r="BD179" s="279" t="s">
        <v>1474</v>
      </c>
      <c r="BE179" s="279" t="str">
        <f t="shared" si="232"/>
        <v>르노코리아</v>
      </c>
      <c r="BF179" s="581">
        <v>4.1000000000000002E-2</v>
      </c>
      <c r="BG179" s="281">
        <v>0</v>
      </c>
      <c r="BH179" s="281">
        <v>0</v>
      </c>
      <c r="BI179" s="279"/>
      <c r="BJ179" s="279"/>
      <c r="BK179" s="279"/>
      <c r="BL179" s="279"/>
      <c r="BM179" s="279" t="s">
        <v>1548</v>
      </c>
      <c r="BN179" s="279"/>
      <c r="BO179" s="279"/>
      <c r="BP179" s="500">
        <f t="shared" si="233"/>
        <v>6.8000000000000005E-2</v>
      </c>
      <c r="BQ179" s="973">
        <f t="shared" si="234"/>
        <v>6.1000000000000006E-2</v>
      </c>
    </row>
    <row r="180" spans="1:69" s="460" customFormat="1" ht="15" customHeight="1">
      <c r="A180" s="281">
        <v>169</v>
      </c>
      <c r="B180" s="279">
        <v>456087746</v>
      </c>
      <c r="C180" s="279" t="s">
        <v>526</v>
      </c>
      <c r="D180" s="279" t="s">
        <v>528</v>
      </c>
      <c r="E180" s="279" t="s">
        <v>482</v>
      </c>
      <c r="F180" s="279" t="s">
        <v>474</v>
      </c>
      <c r="G180" s="279">
        <v>29880000</v>
      </c>
      <c r="H180" s="279">
        <v>1598</v>
      </c>
      <c r="I180" s="279">
        <v>0</v>
      </c>
      <c r="J180" s="279">
        <v>5</v>
      </c>
      <c r="K180" s="279" t="s">
        <v>495</v>
      </c>
      <c r="L180" s="279">
        <v>0</v>
      </c>
      <c r="M180" s="279" t="s">
        <v>864</v>
      </c>
      <c r="N180" s="279" t="s">
        <v>865</v>
      </c>
      <c r="O180" s="279" t="s">
        <v>1409</v>
      </c>
      <c r="P180" s="279" t="s">
        <v>1410</v>
      </c>
      <c r="Q180" s="279" t="s">
        <v>1414</v>
      </c>
      <c r="R180" s="279"/>
      <c r="S180" s="279">
        <v>50</v>
      </c>
      <c r="T180" s="279">
        <v>17.399999999999999</v>
      </c>
      <c r="U180" s="279" t="s">
        <v>553</v>
      </c>
      <c r="V180" s="279" t="s">
        <v>553</v>
      </c>
      <c r="W180" s="279" t="s">
        <v>473</v>
      </c>
      <c r="X180" s="279" t="s">
        <v>478</v>
      </c>
      <c r="Y180" s="279"/>
      <c r="Z180" s="279"/>
      <c r="AA180" s="279"/>
      <c r="AB180" s="279" t="s">
        <v>22</v>
      </c>
      <c r="AC180" s="279" t="s">
        <v>490</v>
      </c>
      <c r="AD180" s="279" t="s">
        <v>491</v>
      </c>
      <c r="AE180" s="279">
        <v>87746</v>
      </c>
      <c r="AF180" s="279" t="s">
        <v>473</v>
      </c>
      <c r="AG180" s="279"/>
      <c r="AH180" s="279"/>
      <c r="AI180" s="279">
        <v>20240405</v>
      </c>
      <c r="AJ180" s="462" t="s">
        <v>1151</v>
      </c>
      <c r="AK180" s="279"/>
      <c r="AL180" s="279" t="str">
        <f>IF(AB180="Y","단종모델",LEFT(N180,3)&amp;IFERROR(VLOOKUP(LEFT(N180,3)&amp;P180,#REF!,2,0),""))</f>
        <v>RSM</v>
      </c>
      <c r="AM180" s="469" t="str">
        <f t="shared" si="246"/>
        <v xml:space="preserve">아르카나 가솔린 1.6 하이브리드 (E-TECH) </v>
      </c>
      <c r="AN180" s="279">
        <f t="shared" si="236"/>
        <v>29880000</v>
      </c>
      <c r="AO180" s="279">
        <f t="shared" si="237"/>
        <v>1598</v>
      </c>
      <c r="AP180" s="279" t="str">
        <f t="shared" si="238"/>
        <v>T</v>
      </c>
      <c r="AQ180" s="279">
        <f t="shared" si="239"/>
        <v>5</v>
      </c>
      <c r="AR180" s="279" t="str">
        <f t="shared" si="240"/>
        <v>RV</v>
      </c>
      <c r="AS180" s="279" t="str">
        <f t="shared" si="241"/>
        <v>승용</v>
      </c>
      <c r="AT180" s="279" t="str">
        <f t="shared" si="242"/>
        <v>7급</v>
      </c>
      <c r="AU180" s="279" t="str">
        <f t="shared" si="243"/>
        <v>08:부산</v>
      </c>
      <c r="AV180" s="279">
        <f t="shared" si="235"/>
        <v>0</v>
      </c>
      <c r="AW180" s="279" t="str">
        <f t="shared" si="244"/>
        <v>D</v>
      </c>
      <c r="AX180" s="279" t="str">
        <f t="shared" si="245"/>
        <v>전략</v>
      </c>
      <c r="AY180" s="468">
        <v>0.05</v>
      </c>
      <c r="AZ180" s="468"/>
      <c r="BA180" s="279" t="s">
        <v>1686</v>
      </c>
      <c r="BB180" s="279" t="s">
        <v>1653</v>
      </c>
      <c r="BC180" s="279"/>
      <c r="BD180" s="279" t="s">
        <v>1474</v>
      </c>
      <c r="BE180" s="279" t="str">
        <f t="shared" si="232"/>
        <v>르노코리아</v>
      </c>
      <c r="BF180" s="581">
        <v>4.1000000000000002E-2</v>
      </c>
      <c r="BG180" s="281">
        <v>0</v>
      </c>
      <c r="BH180" s="281">
        <v>0</v>
      </c>
      <c r="BI180" s="279"/>
      <c r="BJ180" s="279"/>
      <c r="BK180" s="279"/>
      <c r="BL180" s="279"/>
      <c r="BM180" s="279" t="s">
        <v>1548</v>
      </c>
      <c r="BN180" s="279"/>
      <c r="BO180" s="279"/>
      <c r="BP180" s="500">
        <f t="shared" si="233"/>
        <v>6.8000000000000005E-2</v>
      </c>
      <c r="BQ180" s="973">
        <f t="shared" si="234"/>
        <v>6.1000000000000006E-2</v>
      </c>
    </row>
    <row r="181" spans="1:69" s="460" customFormat="1" ht="15" customHeight="1">
      <c r="A181" s="281">
        <v>170</v>
      </c>
      <c r="B181" s="279">
        <v>397970750</v>
      </c>
      <c r="C181" s="279" t="s">
        <v>526</v>
      </c>
      <c r="D181" s="279" t="s">
        <v>473</v>
      </c>
      <c r="E181" s="279" t="s">
        <v>482</v>
      </c>
      <c r="F181" s="279" t="s">
        <v>474</v>
      </c>
      <c r="G181" s="279">
        <v>32650000</v>
      </c>
      <c r="H181" s="279">
        <v>1332</v>
      </c>
      <c r="I181" s="279">
        <v>0</v>
      </c>
      <c r="J181" s="279">
        <v>5</v>
      </c>
      <c r="K181" s="279" t="s">
        <v>475</v>
      </c>
      <c r="L181" s="279">
        <v>0</v>
      </c>
      <c r="M181" s="279" t="s">
        <v>864</v>
      </c>
      <c r="N181" s="279" t="s">
        <v>865</v>
      </c>
      <c r="O181" s="279" t="s">
        <v>125</v>
      </c>
      <c r="P181" s="279" t="s">
        <v>125</v>
      </c>
      <c r="Q181" s="279" t="s">
        <v>1038</v>
      </c>
      <c r="R181" s="279"/>
      <c r="S181" s="279">
        <v>0</v>
      </c>
      <c r="T181" s="279">
        <v>12.9</v>
      </c>
      <c r="U181" s="279" t="s">
        <v>488</v>
      </c>
      <c r="V181" s="279" t="s">
        <v>488</v>
      </c>
      <c r="W181" s="279" t="s">
        <v>473</v>
      </c>
      <c r="X181" s="279" t="s">
        <v>478</v>
      </c>
      <c r="Y181" s="282"/>
      <c r="Z181" s="282"/>
      <c r="AA181" s="282"/>
      <c r="AB181" s="279" t="s">
        <v>22</v>
      </c>
      <c r="AC181" s="279" t="s">
        <v>480</v>
      </c>
      <c r="AD181" s="279" t="s">
        <v>491</v>
      </c>
      <c r="AE181" s="279">
        <v>70750</v>
      </c>
      <c r="AF181" s="279" t="s">
        <v>473</v>
      </c>
      <c r="AG181" s="279"/>
      <c r="AH181" s="279">
        <v>0</v>
      </c>
      <c r="AI181" s="279">
        <v>20230509</v>
      </c>
      <c r="AJ181" s="462" t="s">
        <v>1151</v>
      </c>
      <c r="AK181" s="279"/>
      <c r="AL181" s="279" t="str">
        <f>IF(AB181="Y","단종모델",LEFT(N181,3)&amp;IFERROR(VLOOKUP(LEFT(N181,3)&amp;P181,#REF!,2,0),""))</f>
        <v>RSM</v>
      </c>
      <c r="AM181" s="469" t="str">
        <f t="shared" si="246"/>
        <v xml:space="preserve">SM6 가솔린 터보 1.3 </v>
      </c>
      <c r="AN181" s="279">
        <f t="shared" si="236"/>
        <v>32650000</v>
      </c>
      <c r="AO181" s="279">
        <f t="shared" si="237"/>
        <v>1332</v>
      </c>
      <c r="AP181" s="279" t="str">
        <f t="shared" si="238"/>
        <v>M</v>
      </c>
      <c r="AQ181" s="279">
        <f t="shared" si="239"/>
        <v>5</v>
      </c>
      <c r="AR181" s="279" t="str">
        <f t="shared" si="240"/>
        <v>승용</v>
      </c>
      <c r="AS181" s="279" t="str">
        <f t="shared" si="241"/>
        <v>승용</v>
      </c>
      <c r="AT181" s="279" t="str">
        <f t="shared" si="242"/>
        <v>2급</v>
      </c>
      <c r="AU181" s="279" t="str">
        <f t="shared" si="243"/>
        <v>08:부산</v>
      </c>
      <c r="AV181" s="279">
        <f t="shared" si="235"/>
        <v>0</v>
      </c>
      <c r="AW181" s="279" t="str">
        <f t="shared" si="244"/>
        <v>D</v>
      </c>
      <c r="AX181" s="279" t="str">
        <f t="shared" si="245"/>
        <v>전략</v>
      </c>
      <c r="AY181" s="468">
        <v>0.05</v>
      </c>
      <c r="AZ181" s="468"/>
      <c r="BA181" s="279" t="s">
        <v>1695</v>
      </c>
      <c r="BB181" s="279" t="s">
        <v>1646</v>
      </c>
      <c r="BC181" s="279"/>
      <c r="BD181" s="279" t="s">
        <v>1474</v>
      </c>
      <c r="BE181" s="279" t="str">
        <f t="shared" si="232"/>
        <v>르노코리아</v>
      </c>
      <c r="BF181" s="581">
        <v>4.1000000000000002E-2</v>
      </c>
      <c r="BG181" s="281">
        <v>0</v>
      </c>
      <c r="BH181" s="281">
        <v>0</v>
      </c>
      <c r="BI181" s="279"/>
      <c r="BJ181" s="279"/>
      <c r="BK181" s="279"/>
      <c r="BL181" s="279"/>
      <c r="BM181" s="279" t="s">
        <v>1548</v>
      </c>
      <c r="BN181" s="279"/>
      <c r="BO181" s="279"/>
      <c r="BP181" s="500">
        <f t="shared" si="233"/>
        <v>6.8000000000000005E-2</v>
      </c>
      <c r="BQ181" s="973">
        <f t="shared" si="234"/>
        <v>6.1000000000000006E-2</v>
      </c>
    </row>
    <row r="182" spans="1:69" s="460" customFormat="1" ht="15" customHeight="1">
      <c r="A182" s="281">
        <v>171</v>
      </c>
      <c r="B182" s="279">
        <v>397970751</v>
      </c>
      <c r="C182" s="279" t="s">
        <v>526</v>
      </c>
      <c r="D182" s="279" t="s">
        <v>473</v>
      </c>
      <c r="E182" s="279" t="s">
        <v>482</v>
      </c>
      <c r="F182" s="279" t="s">
        <v>474</v>
      </c>
      <c r="G182" s="279">
        <v>30730000</v>
      </c>
      <c r="H182" s="279">
        <v>1798</v>
      </c>
      <c r="I182" s="279">
        <v>0</v>
      </c>
      <c r="J182" s="279">
        <v>5</v>
      </c>
      <c r="K182" s="279" t="s">
        <v>475</v>
      </c>
      <c r="L182" s="279">
        <v>0</v>
      </c>
      <c r="M182" s="279" t="s">
        <v>864</v>
      </c>
      <c r="N182" s="279" t="s">
        <v>865</v>
      </c>
      <c r="O182" s="279" t="s">
        <v>125</v>
      </c>
      <c r="P182" s="279" t="s">
        <v>125</v>
      </c>
      <c r="Q182" s="279" t="s">
        <v>1039</v>
      </c>
      <c r="R182" s="279"/>
      <c r="S182" s="279">
        <v>0</v>
      </c>
      <c r="T182" s="279">
        <v>11.8</v>
      </c>
      <c r="U182" s="279" t="s">
        <v>483</v>
      </c>
      <c r="V182" s="279" t="s">
        <v>483</v>
      </c>
      <c r="W182" s="279" t="s">
        <v>473</v>
      </c>
      <c r="X182" s="279" t="s">
        <v>498</v>
      </c>
      <c r="Y182" s="282"/>
      <c r="Z182" s="282"/>
      <c r="AA182" s="282"/>
      <c r="AB182" s="279" t="s">
        <v>22</v>
      </c>
      <c r="AC182" s="279" t="s">
        <v>499</v>
      </c>
      <c r="AD182" s="279" t="s">
        <v>491</v>
      </c>
      <c r="AE182" s="279">
        <v>70751</v>
      </c>
      <c r="AF182" s="279" t="s">
        <v>473</v>
      </c>
      <c r="AG182" s="279"/>
      <c r="AH182" s="279">
        <v>0</v>
      </c>
      <c r="AI182" s="279">
        <v>20230509</v>
      </c>
      <c r="AJ182" s="462" t="s">
        <v>1151</v>
      </c>
      <c r="AK182" s="279"/>
      <c r="AL182" s="279" t="str">
        <f>IF(AB182="Y","단종모델",LEFT(N182,3)&amp;IFERROR(VLOOKUP(LEFT(N182,3)&amp;P182,#REF!,2,0),""))</f>
        <v>RSM</v>
      </c>
      <c r="AM182" s="469" t="str">
        <f t="shared" si="246"/>
        <v xml:space="preserve">SM6 가솔린 터보 1.8 </v>
      </c>
      <c r="AN182" s="279">
        <f t="shared" si="236"/>
        <v>30730000</v>
      </c>
      <c r="AO182" s="279">
        <f t="shared" si="237"/>
        <v>1798</v>
      </c>
      <c r="AP182" s="279" t="str">
        <f t="shared" si="238"/>
        <v>M</v>
      </c>
      <c r="AQ182" s="279">
        <f t="shared" si="239"/>
        <v>5</v>
      </c>
      <c r="AR182" s="279" t="str">
        <f t="shared" si="240"/>
        <v>승용</v>
      </c>
      <c r="AS182" s="279" t="str">
        <f t="shared" si="241"/>
        <v>승용</v>
      </c>
      <c r="AT182" s="279" t="str">
        <f t="shared" si="242"/>
        <v>3급</v>
      </c>
      <c r="AU182" s="279" t="str">
        <f t="shared" si="243"/>
        <v>08:부산</v>
      </c>
      <c r="AV182" s="279">
        <f t="shared" si="235"/>
        <v>0</v>
      </c>
      <c r="AW182" s="279" t="str">
        <f t="shared" si="244"/>
        <v>D</v>
      </c>
      <c r="AX182" s="279" t="str">
        <f t="shared" si="245"/>
        <v>전략</v>
      </c>
      <c r="AY182" s="468">
        <v>0.05</v>
      </c>
      <c r="AZ182" s="468"/>
      <c r="BA182" s="279" t="s">
        <v>1695</v>
      </c>
      <c r="BB182" s="279" t="s">
        <v>1646</v>
      </c>
      <c r="BC182" s="279"/>
      <c r="BD182" s="279" t="s">
        <v>1474</v>
      </c>
      <c r="BE182" s="279" t="str">
        <f t="shared" si="232"/>
        <v>르노코리아</v>
      </c>
      <c r="BF182" s="581">
        <v>4.1000000000000002E-2</v>
      </c>
      <c r="BG182" s="281">
        <v>0</v>
      </c>
      <c r="BH182" s="281">
        <v>0</v>
      </c>
      <c r="BI182" s="279"/>
      <c r="BJ182" s="279"/>
      <c r="BK182" s="279"/>
      <c r="BL182" s="279"/>
      <c r="BM182" s="279" t="s">
        <v>1548</v>
      </c>
      <c r="BN182" s="279"/>
      <c r="BO182" s="279"/>
      <c r="BP182" s="500">
        <f t="shared" si="233"/>
        <v>6.8000000000000005E-2</v>
      </c>
      <c r="BQ182" s="973">
        <f t="shared" si="234"/>
        <v>6.1000000000000006E-2</v>
      </c>
    </row>
    <row r="183" spans="1:69" s="460" customFormat="1" ht="15" customHeight="1">
      <c r="A183" s="281">
        <v>172</v>
      </c>
      <c r="B183" s="279">
        <v>397970753</v>
      </c>
      <c r="C183" s="279" t="s">
        <v>526</v>
      </c>
      <c r="D183" s="279" t="s">
        <v>473</v>
      </c>
      <c r="E183" s="279" t="s">
        <v>482</v>
      </c>
      <c r="F183" s="279" t="s">
        <v>474</v>
      </c>
      <c r="G183" s="279">
        <v>24010000</v>
      </c>
      <c r="H183" s="279">
        <v>1998</v>
      </c>
      <c r="I183" s="279">
        <v>0</v>
      </c>
      <c r="J183" s="279">
        <v>5</v>
      </c>
      <c r="K183" s="279" t="s">
        <v>508</v>
      </c>
      <c r="L183" s="279">
        <v>0</v>
      </c>
      <c r="M183" s="279" t="s">
        <v>864</v>
      </c>
      <c r="N183" s="279" t="s">
        <v>865</v>
      </c>
      <c r="O183" s="279" t="s">
        <v>125</v>
      </c>
      <c r="P183" s="279" t="s">
        <v>125</v>
      </c>
      <c r="Q183" s="279" t="s">
        <v>1040</v>
      </c>
      <c r="R183" s="279"/>
      <c r="S183" s="279">
        <v>0</v>
      </c>
      <c r="T183" s="279">
        <v>9.5</v>
      </c>
      <c r="U183" s="279" t="s">
        <v>501</v>
      </c>
      <c r="V183" s="279" t="s">
        <v>501</v>
      </c>
      <c r="W183" s="279" t="s">
        <v>473</v>
      </c>
      <c r="X183" s="279" t="s">
        <v>498</v>
      </c>
      <c r="Y183" s="282"/>
      <c r="Z183" s="282"/>
      <c r="AA183" s="282"/>
      <c r="AB183" s="279" t="s">
        <v>22</v>
      </c>
      <c r="AC183" s="279" t="s">
        <v>499</v>
      </c>
      <c r="AD183" s="279" t="s">
        <v>491</v>
      </c>
      <c r="AE183" s="279">
        <v>70753</v>
      </c>
      <c r="AF183" s="279" t="s">
        <v>473</v>
      </c>
      <c r="AG183" s="279"/>
      <c r="AH183" s="279">
        <v>0</v>
      </c>
      <c r="AI183" s="279">
        <v>20230509</v>
      </c>
      <c r="AJ183" s="462" t="s">
        <v>1151</v>
      </c>
      <c r="AK183" s="279"/>
      <c r="AL183" s="279" t="str">
        <f>IF(AB183="Y","단종모델",LEFT(N183,3)&amp;IFERROR(VLOOKUP(LEFT(N183,3)&amp;P183,#REF!,2,0),""))</f>
        <v>RSM</v>
      </c>
      <c r="AM183" s="469" t="str">
        <f t="shared" si="246"/>
        <v xml:space="preserve">SM6 LPG 2.0 (일반인 판매용) </v>
      </c>
      <c r="AN183" s="279">
        <f t="shared" si="236"/>
        <v>24010000</v>
      </c>
      <c r="AO183" s="279">
        <f t="shared" si="237"/>
        <v>1998</v>
      </c>
      <c r="AP183" s="279" t="str">
        <f t="shared" si="238"/>
        <v>L</v>
      </c>
      <c r="AQ183" s="279">
        <f t="shared" si="239"/>
        <v>5</v>
      </c>
      <c r="AR183" s="279" t="str">
        <f t="shared" si="240"/>
        <v>승용</v>
      </c>
      <c r="AS183" s="279" t="str">
        <f t="shared" si="241"/>
        <v>승용</v>
      </c>
      <c r="AT183" s="279" t="str">
        <f t="shared" si="242"/>
        <v>3급</v>
      </c>
      <c r="AU183" s="279" t="str">
        <f t="shared" si="243"/>
        <v>08:부산</v>
      </c>
      <c r="AV183" s="279">
        <f t="shared" si="235"/>
        <v>0</v>
      </c>
      <c r="AW183" s="279" t="str">
        <f t="shared" si="244"/>
        <v>D</v>
      </c>
      <c r="AX183" s="279" t="str">
        <f t="shared" si="245"/>
        <v>전략</v>
      </c>
      <c r="AY183" s="468">
        <v>0.05</v>
      </c>
      <c r="AZ183" s="468"/>
      <c r="BA183" s="279" t="s">
        <v>1645</v>
      </c>
      <c r="BB183" s="279" t="s">
        <v>1646</v>
      </c>
      <c r="BC183" s="279"/>
      <c r="BD183" s="279" t="s">
        <v>1474</v>
      </c>
      <c r="BE183" s="279" t="str">
        <f t="shared" si="232"/>
        <v>르노코리아</v>
      </c>
      <c r="BF183" s="581">
        <v>4.1000000000000002E-2</v>
      </c>
      <c r="BG183" s="281">
        <v>0</v>
      </c>
      <c r="BH183" s="281">
        <v>0</v>
      </c>
      <c r="BI183" s="279"/>
      <c r="BJ183" s="279"/>
      <c r="BK183" s="279"/>
      <c r="BL183" s="279"/>
      <c r="BM183" s="279" t="s">
        <v>1548</v>
      </c>
      <c r="BN183" s="279"/>
      <c r="BO183" s="279"/>
      <c r="BP183" s="500">
        <f t="shared" si="233"/>
        <v>6.8000000000000005E-2</v>
      </c>
      <c r="BQ183" s="973">
        <f t="shared" si="234"/>
        <v>6.1000000000000006E-2</v>
      </c>
    </row>
    <row r="184" spans="1:69" s="460" customFormat="1" ht="15" customHeight="1">
      <c r="A184" s="281">
        <v>173</v>
      </c>
      <c r="B184" s="279">
        <v>397970757</v>
      </c>
      <c r="C184" s="279" t="s">
        <v>526</v>
      </c>
      <c r="D184" s="279" t="s">
        <v>473</v>
      </c>
      <c r="E184" s="279" t="s">
        <v>482</v>
      </c>
      <c r="F184" s="279" t="s">
        <v>474</v>
      </c>
      <c r="G184" s="279">
        <v>22965088</v>
      </c>
      <c r="H184" s="279">
        <v>1998</v>
      </c>
      <c r="I184" s="279">
        <v>0</v>
      </c>
      <c r="J184" s="279">
        <v>5</v>
      </c>
      <c r="K184" s="279" t="s">
        <v>537</v>
      </c>
      <c r="L184" s="279">
        <v>0</v>
      </c>
      <c r="M184" s="279" t="s">
        <v>864</v>
      </c>
      <c r="N184" s="279" t="s">
        <v>865</v>
      </c>
      <c r="O184" s="279" t="s">
        <v>125</v>
      </c>
      <c r="P184" s="279" t="s">
        <v>125</v>
      </c>
      <c r="Q184" s="279" t="s">
        <v>1041</v>
      </c>
      <c r="R184" s="279"/>
      <c r="S184" s="279">
        <v>0</v>
      </c>
      <c r="T184" s="279">
        <v>9.5</v>
      </c>
      <c r="U184" s="279" t="s">
        <v>501</v>
      </c>
      <c r="V184" s="279" t="s">
        <v>501</v>
      </c>
      <c r="W184" s="279" t="s">
        <v>473</v>
      </c>
      <c r="X184" s="279" t="s">
        <v>498</v>
      </c>
      <c r="Y184" s="279"/>
      <c r="Z184" s="279"/>
      <c r="AA184" s="279"/>
      <c r="AB184" s="279" t="s">
        <v>22</v>
      </c>
      <c r="AC184" s="279" t="s">
        <v>499</v>
      </c>
      <c r="AD184" s="279" t="s">
        <v>491</v>
      </c>
      <c r="AE184" s="279">
        <v>70757</v>
      </c>
      <c r="AF184" s="279" t="s">
        <v>473</v>
      </c>
      <c r="AG184" s="279"/>
      <c r="AH184" s="279">
        <v>0</v>
      </c>
      <c r="AI184" s="279">
        <v>20230509</v>
      </c>
      <c r="AJ184" s="462" t="s">
        <v>1151</v>
      </c>
      <c r="AK184" s="279"/>
      <c r="AL184" s="279" t="str">
        <f>IF(AB184="Y","단종모델",LEFT(N184,3)&amp;IFERROR(VLOOKUP(LEFT(N184,3)&amp;P184,#REF!,2,0),""))</f>
        <v>RSM</v>
      </c>
      <c r="AM184" s="469" t="str">
        <f t="shared" si="246"/>
        <v xml:space="preserve">SM6 LPG 2.0 (렌터카) </v>
      </c>
      <c r="AN184" s="279">
        <f t="shared" si="236"/>
        <v>22965088</v>
      </c>
      <c r="AO184" s="279">
        <f t="shared" si="237"/>
        <v>1998</v>
      </c>
      <c r="AP184" s="279" t="str">
        <f t="shared" si="238"/>
        <v>R</v>
      </c>
      <c r="AQ184" s="279">
        <f t="shared" si="239"/>
        <v>5</v>
      </c>
      <c r="AR184" s="279" t="str">
        <f t="shared" si="240"/>
        <v>승용</v>
      </c>
      <c r="AS184" s="279" t="str">
        <f t="shared" si="241"/>
        <v>승용</v>
      </c>
      <c r="AT184" s="279" t="str">
        <f t="shared" si="242"/>
        <v>3급</v>
      </c>
      <c r="AU184" s="279" t="str">
        <f t="shared" si="243"/>
        <v>08:부산</v>
      </c>
      <c r="AV184" s="279">
        <f t="shared" si="235"/>
        <v>0</v>
      </c>
      <c r="AW184" s="279" t="str">
        <f t="shared" si="244"/>
        <v>D</v>
      </c>
      <c r="AX184" s="279" t="str">
        <f t="shared" si="245"/>
        <v>전략</v>
      </c>
      <c r="AY184" s="468">
        <v>0.05</v>
      </c>
      <c r="AZ184" s="468"/>
      <c r="BA184" s="279" t="s">
        <v>1645</v>
      </c>
      <c r="BB184" s="279" t="s">
        <v>1646</v>
      </c>
      <c r="BC184" s="279"/>
      <c r="BD184" s="279" t="s">
        <v>1474</v>
      </c>
      <c r="BE184" s="279" t="str">
        <f t="shared" si="232"/>
        <v>르노코리아</v>
      </c>
      <c r="BF184" s="581">
        <v>4.1000000000000002E-2</v>
      </c>
      <c r="BG184" s="281">
        <v>0</v>
      </c>
      <c r="BH184" s="281">
        <v>0</v>
      </c>
      <c r="BI184" s="279"/>
      <c r="BJ184" s="279"/>
      <c r="BK184" s="279"/>
      <c r="BL184" s="279"/>
      <c r="BM184" s="279" t="s">
        <v>1548</v>
      </c>
      <c r="BN184" s="279"/>
      <c r="BO184" s="279"/>
      <c r="BP184" s="500">
        <f t="shared" si="233"/>
        <v>6.8000000000000005E-2</v>
      </c>
      <c r="BQ184" s="973">
        <f t="shared" si="234"/>
        <v>6.1000000000000006E-2</v>
      </c>
    </row>
    <row r="185" spans="1:69" s="460" customFormat="1" ht="15" customHeight="1">
      <c r="A185" s="281">
        <v>174</v>
      </c>
      <c r="B185" s="279">
        <v>465988162</v>
      </c>
      <c r="C185" s="279" t="s">
        <v>526</v>
      </c>
      <c r="D185" s="279" t="s">
        <v>528</v>
      </c>
      <c r="E185" s="279" t="s">
        <v>482</v>
      </c>
      <c r="F185" s="279" t="s">
        <v>474</v>
      </c>
      <c r="G185" s="279">
        <v>39200000</v>
      </c>
      <c r="H185" s="279">
        <v>1499</v>
      </c>
      <c r="I185" s="279">
        <v>0</v>
      </c>
      <c r="J185" s="279">
        <v>5</v>
      </c>
      <c r="K185" s="279" t="s">
        <v>495</v>
      </c>
      <c r="L185" s="279">
        <v>0</v>
      </c>
      <c r="M185" s="279" t="s">
        <v>864</v>
      </c>
      <c r="N185" s="279" t="s">
        <v>865</v>
      </c>
      <c r="O185" s="279" t="s">
        <v>1705</v>
      </c>
      <c r="P185" s="279" t="s">
        <v>1706</v>
      </c>
      <c r="Q185" s="279" t="s">
        <v>1707</v>
      </c>
      <c r="R185" s="279"/>
      <c r="S185" s="279">
        <v>0</v>
      </c>
      <c r="T185" s="279">
        <v>0</v>
      </c>
      <c r="U185" s="279" t="s">
        <v>941</v>
      </c>
      <c r="V185" s="279" t="s">
        <v>941</v>
      </c>
      <c r="W185" s="279" t="s">
        <v>473</v>
      </c>
      <c r="X185" s="279" t="s">
        <v>478</v>
      </c>
      <c r="Y185" s="279"/>
      <c r="Z185" s="279"/>
      <c r="AA185" s="279"/>
      <c r="AB185" s="279" t="s">
        <v>22</v>
      </c>
      <c r="AC185" s="279" t="s">
        <v>490</v>
      </c>
      <c r="AD185" s="279" t="s">
        <v>491</v>
      </c>
      <c r="AE185" s="279">
        <v>88162</v>
      </c>
      <c r="AF185" s="279" t="s">
        <v>473</v>
      </c>
      <c r="AG185" s="279"/>
      <c r="AH185" s="279"/>
      <c r="AI185" s="279">
        <v>20240718</v>
      </c>
      <c r="AJ185" s="462" t="s">
        <v>1151</v>
      </c>
      <c r="AK185" s="279"/>
      <c r="AL185" s="279" t="str">
        <f>IF(AB185="Y","단종모델",LEFT(N185,3)&amp;IFERROR(VLOOKUP(LEFT(N185,3)&amp;P185,#REF!,2,0),""))</f>
        <v>RSM</v>
      </c>
      <c r="AM185" s="469" t="str">
        <f t="shared" si="246"/>
        <v xml:space="preserve">그랑 콜레오스 가솔린 1.5 하이브리드 </v>
      </c>
      <c r="AN185" s="279">
        <f t="shared" si="236"/>
        <v>39200000</v>
      </c>
      <c r="AO185" s="279">
        <f t="shared" si="237"/>
        <v>1499</v>
      </c>
      <c r="AP185" s="279" t="str">
        <f t="shared" ref="AP185:AP186" si="247">LEFT(K185,1)</f>
        <v>T</v>
      </c>
      <c r="AQ185" s="279">
        <f t="shared" ref="AQ185:AQ186" si="248">J185</f>
        <v>5</v>
      </c>
      <c r="AR185" s="279" t="str">
        <f t="shared" ref="AR185:AR186" si="249">RIGHT(D185,2)</f>
        <v>RV</v>
      </c>
      <c r="AS185" s="279" t="str">
        <f t="shared" ref="AS185:AS186" si="250">MID(W185,4,3)</f>
        <v>승용</v>
      </c>
      <c r="AT185" s="279" t="str">
        <f t="shared" ref="AT185:AT186" si="251">RIGHT(AC185,2)</f>
        <v>7급</v>
      </c>
      <c r="AU185" s="279" t="str">
        <f t="shared" ref="AU185:AU186" si="252">AB185</f>
        <v>08:부산</v>
      </c>
      <c r="AV185" s="279">
        <f t="shared" ref="AV185:AV186" si="253">IF(AND(BE185="기아",AQ185&lt;7),1900,IF(AND(BE185="기아",AQ185&gt;6,AQ185&lt;11),2500,IF(AND(BE185="기아",AQ185&gt;10),3500,IF(AND(BE185="KG모빌리티",AQ185&lt;7),3650,IF(AND(BE185="KG모빌리티",AQ185&gt;6),4300,0)))))</f>
        <v>0</v>
      </c>
      <c r="AW185" s="279" t="str">
        <f t="shared" ref="AW185:AW186" si="254">LEFT(F185,1)</f>
        <v>D</v>
      </c>
      <c r="AX185" s="279" t="str">
        <f t="shared" ref="AX185:AX186" si="255">AJ185</f>
        <v>전략</v>
      </c>
      <c r="AY185" s="468">
        <v>0.03</v>
      </c>
      <c r="AZ185" s="468"/>
      <c r="BA185" s="279" t="s">
        <v>1725</v>
      </c>
      <c r="BB185" s="279" t="s">
        <v>1723</v>
      </c>
      <c r="BC185" s="279"/>
      <c r="BD185" s="279" t="s">
        <v>1474</v>
      </c>
      <c r="BE185" s="279" t="str">
        <f t="shared" si="232"/>
        <v>르노코리아</v>
      </c>
      <c r="BF185" s="581">
        <v>4.1000000000000002E-2</v>
      </c>
      <c r="BG185" s="281">
        <v>0</v>
      </c>
      <c r="BH185" s="281">
        <v>0</v>
      </c>
      <c r="BI185" s="279"/>
      <c r="BJ185" s="279"/>
      <c r="BK185" s="279"/>
      <c r="BL185" s="279"/>
      <c r="BM185" s="279" t="s">
        <v>1548</v>
      </c>
      <c r="BN185" s="279"/>
      <c r="BO185" s="279"/>
      <c r="BP185" s="500">
        <f t="shared" si="233"/>
        <v>6.8000000000000005E-2</v>
      </c>
      <c r="BQ185" s="973">
        <f t="shared" ref="BQ185:BQ186" si="256">BP185-0.007</f>
        <v>6.1000000000000006E-2</v>
      </c>
    </row>
    <row r="186" spans="1:69" s="460" customFormat="1" ht="15" customHeight="1">
      <c r="A186" s="281">
        <v>175</v>
      </c>
      <c r="B186" s="279">
        <v>465988166</v>
      </c>
      <c r="C186" s="279" t="s">
        <v>526</v>
      </c>
      <c r="D186" s="279" t="s">
        <v>528</v>
      </c>
      <c r="E186" s="279" t="s">
        <v>482</v>
      </c>
      <c r="F186" s="279" t="s">
        <v>474</v>
      </c>
      <c r="G186" s="279">
        <v>34950000</v>
      </c>
      <c r="H186" s="279">
        <v>1969</v>
      </c>
      <c r="I186" s="279">
        <v>0</v>
      </c>
      <c r="J186" s="279">
        <v>5</v>
      </c>
      <c r="K186" s="279" t="s">
        <v>475</v>
      </c>
      <c r="L186" s="279">
        <v>0</v>
      </c>
      <c r="M186" s="279" t="s">
        <v>864</v>
      </c>
      <c r="N186" s="279" t="s">
        <v>865</v>
      </c>
      <c r="O186" s="279" t="s">
        <v>1705</v>
      </c>
      <c r="P186" s="279" t="s">
        <v>1706</v>
      </c>
      <c r="Q186" s="279" t="s">
        <v>1708</v>
      </c>
      <c r="R186" s="279"/>
      <c r="S186" s="279">
        <v>0</v>
      </c>
      <c r="T186" s="279">
        <v>0</v>
      </c>
      <c r="U186" s="279" t="s">
        <v>941</v>
      </c>
      <c r="V186" s="279" t="s">
        <v>941</v>
      </c>
      <c r="W186" s="279" t="s">
        <v>473</v>
      </c>
      <c r="X186" s="279" t="s">
        <v>498</v>
      </c>
      <c r="Y186" s="279"/>
      <c r="Z186" s="279"/>
      <c r="AA186" s="279"/>
      <c r="AB186" s="279" t="s">
        <v>22</v>
      </c>
      <c r="AC186" s="279" t="s">
        <v>490</v>
      </c>
      <c r="AD186" s="279" t="s">
        <v>491</v>
      </c>
      <c r="AE186" s="279">
        <v>88166</v>
      </c>
      <c r="AF186" s="279" t="s">
        <v>473</v>
      </c>
      <c r="AG186" s="279"/>
      <c r="AH186" s="279"/>
      <c r="AI186" s="279">
        <v>20240718</v>
      </c>
      <c r="AJ186" s="462" t="s">
        <v>1151</v>
      </c>
      <c r="AK186" s="279"/>
      <c r="AL186" s="279" t="str">
        <f>IF(AB186="Y","단종모델",LEFT(N186,3)&amp;IFERROR(VLOOKUP(LEFT(N186,3)&amp;P186,#REF!,2,0),""))</f>
        <v>RSM</v>
      </c>
      <c r="AM186" s="469" t="str">
        <f t="shared" si="246"/>
        <v xml:space="preserve">그랑 콜레오스 가솔린 터보 2.0 </v>
      </c>
      <c r="AN186" s="279">
        <f t="shared" si="236"/>
        <v>34950000</v>
      </c>
      <c r="AO186" s="279">
        <f t="shared" si="237"/>
        <v>1969</v>
      </c>
      <c r="AP186" s="279" t="str">
        <f t="shared" si="247"/>
        <v>M</v>
      </c>
      <c r="AQ186" s="279">
        <f t="shared" si="248"/>
        <v>5</v>
      </c>
      <c r="AR186" s="279" t="str">
        <f t="shared" si="249"/>
        <v>RV</v>
      </c>
      <c r="AS186" s="279" t="str">
        <f t="shared" si="250"/>
        <v>승용</v>
      </c>
      <c r="AT186" s="279" t="str">
        <f t="shared" si="251"/>
        <v>7급</v>
      </c>
      <c r="AU186" s="279" t="str">
        <f t="shared" si="252"/>
        <v>08:부산</v>
      </c>
      <c r="AV186" s="279">
        <f t="shared" si="253"/>
        <v>0</v>
      </c>
      <c r="AW186" s="279" t="str">
        <f t="shared" si="254"/>
        <v>D</v>
      </c>
      <c r="AX186" s="279" t="str">
        <f t="shared" si="255"/>
        <v>전략</v>
      </c>
      <c r="AY186" s="468">
        <v>0.03</v>
      </c>
      <c r="AZ186" s="468"/>
      <c r="BA186" s="279" t="s">
        <v>1725</v>
      </c>
      <c r="BB186" s="279" t="s">
        <v>1723</v>
      </c>
      <c r="BC186" s="279"/>
      <c r="BD186" s="279" t="s">
        <v>1474</v>
      </c>
      <c r="BE186" s="279" t="str">
        <f t="shared" si="232"/>
        <v>르노코리아</v>
      </c>
      <c r="BF186" s="581">
        <v>4.1000000000000002E-2</v>
      </c>
      <c r="BG186" s="281">
        <v>0</v>
      </c>
      <c r="BH186" s="281">
        <v>0</v>
      </c>
      <c r="BI186" s="279"/>
      <c r="BJ186" s="279"/>
      <c r="BK186" s="279"/>
      <c r="BL186" s="279"/>
      <c r="BM186" s="279" t="s">
        <v>1548</v>
      </c>
      <c r="BN186" s="279"/>
      <c r="BO186" s="279"/>
      <c r="BP186" s="500">
        <f t="shared" si="233"/>
        <v>6.8000000000000005E-2</v>
      </c>
      <c r="BQ186" s="973">
        <f t="shared" si="256"/>
        <v>6.1000000000000006E-2</v>
      </c>
    </row>
    <row r="187" spans="1:69" s="460" customFormat="1" ht="15.75" customHeight="1">
      <c r="A187" s="281">
        <v>176</v>
      </c>
      <c r="B187" s="279">
        <v>400878654</v>
      </c>
      <c r="C187" s="279" t="s">
        <v>526</v>
      </c>
      <c r="D187" s="279" t="s">
        <v>528</v>
      </c>
      <c r="E187" s="279" t="s">
        <v>482</v>
      </c>
      <c r="F187" s="279" t="s">
        <v>474</v>
      </c>
      <c r="G187" s="279">
        <v>35440000</v>
      </c>
      <c r="H187" s="279">
        <v>1997</v>
      </c>
      <c r="I187" s="279">
        <v>0</v>
      </c>
      <c r="J187" s="279">
        <v>5</v>
      </c>
      <c r="K187" s="279" t="s">
        <v>475</v>
      </c>
      <c r="L187" s="279">
        <v>0</v>
      </c>
      <c r="M187" s="279" t="s">
        <v>864</v>
      </c>
      <c r="N187" s="279" t="s">
        <v>865</v>
      </c>
      <c r="O187" s="279" t="s">
        <v>126</v>
      </c>
      <c r="P187" s="279" t="s">
        <v>126</v>
      </c>
      <c r="Q187" s="279" t="s">
        <v>1022</v>
      </c>
      <c r="R187" s="279"/>
      <c r="S187" s="279">
        <v>60</v>
      </c>
      <c r="T187" s="279">
        <v>11.6</v>
      </c>
      <c r="U187" s="279" t="s">
        <v>536</v>
      </c>
      <c r="V187" s="279" t="s">
        <v>536</v>
      </c>
      <c r="W187" s="279" t="s">
        <v>473</v>
      </c>
      <c r="X187" s="279" t="s">
        <v>498</v>
      </c>
      <c r="Y187" s="279"/>
      <c r="Z187" s="279"/>
      <c r="AA187" s="279"/>
      <c r="AB187" s="279" t="s">
        <v>22</v>
      </c>
      <c r="AC187" s="279" t="s">
        <v>490</v>
      </c>
      <c r="AD187" s="279" t="s">
        <v>491</v>
      </c>
      <c r="AE187" s="279">
        <v>78654</v>
      </c>
      <c r="AF187" s="279" t="s">
        <v>473</v>
      </c>
      <c r="AG187" s="279"/>
      <c r="AH187" s="279"/>
      <c r="AI187" s="279">
        <v>20230509</v>
      </c>
      <c r="AJ187" s="462" t="s">
        <v>1151</v>
      </c>
      <c r="AK187" s="279"/>
      <c r="AL187" s="279" t="str">
        <f>IF(AB187="Y","단종모델",LEFT(N187,3)&amp;IFERROR(VLOOKUP(LEFT(N187,3)&amp;P187,#REF!,2,0),""))</f>
        <v>RSM</v>
      </c>
      <c r="AM187" s="469" t="str">
        <f t="shared" si="246"/>
        <v xml:space="preserve">QM6 가솔린 2.0 </v>
      </c>
      <c r="AN187" s="279">
        <f t="shared" si="236"/>
        <v>35440000</v>
      </c>
      <c r="AO187" s="279">
        <f t="shared" si="237"/>
        <v>1997</v>
      </c>
      <c r="AP187" s="279" t="str">
        <f t="shared" si="238"/>
        <v>M</v>
      </c>
      <c r="AQ187" s="279">
        <f t="shared" si="239"/>
        <v>5</v>
      </c>
      <c r="AR187" s="279" t="str">
        <f t="shared" si="240"/>
        <v>RV</v>
      </c>
      <c r="AS187" s="279" t="str">
        <f t="shared" si="241"/>
        <v>승용</v>
      </c>
      <c r="AT187" s="279" t="str">
        <f t="shared" si="242"/>
        <v>7급</v>
      </c>
      <c r="AU187" s="279" t="str">
        <f t="shared" si="243"/>
        <v>08:부산</v>
      </c>
      <c r="AV187" s="279">
        <f t="shared" si="235"/>
        <v>0</v>
      </c>
      <c r="AW187" s="279" t="str">
        <f t="shared" si="244"/>
        <v>D</v>
      </c>
      <c r="AX187" s="279" t="str">
        <f t="shared" si="245"/>
        <v>전략</v>
      </c>
      <c r="AY187" s="1352">
        <v>0.1</v>
      </c>
      <c r="AZ187" s="468"/>
      <c r="BA187" s="279" t="s">
        <v>1686</v>
      </c>
      <c r="BB187" s="279" t="s">
        <v>1653</v>
      </c>
      <c r="BC187" s="279"/>
      <c r="BD187" s="279" t="s">
        <v>1474</v>
      </c>
      <c r="BE187" s="279" t="str">
        <f t="shared" si="232"/>
        <v>르노코리아</v>
      </c>
      <c r="BF187" s="581">
        <v>4.1000000000000002E-2</v>
      </c>
      <c r="BG187" s="281">
        <v>0</v>
      </c>
      <c r="BH187" s="281">
        <v>0</v>
      </c>
      <c r="BI187" s="279"/>
      <c r="BJ187" s="279"/>
      <c r="BK187" s="279"/>
      <c r="BL187" s="279"/>
      <c r="BM187" s="279" t="s">
        <v>1548</v>
      </c>
      <c r="BN187" s="279"/>
      <c r="BO187" s="279"/>
      <c r="BP187" s="500">
        <f t="shared" si="233"/>
        <v>6.8000000000000005E-2</v>
      </c>
      <c r="BQ187" s="973">
        <f t="shared" si="234"/>
        <v>6.1000000000000006E-2</v>
      </c>
    </row>
    <row r="188" spans="1:69" s="460" customFormat="1" ht="15" customHeight="1">
      <c r="A188" s="281">
        <v>177</v>
      </c>
      <c r="B188" s="279">
        <v>400878659</v>
      </c>
      <c r="C188" s="279" t="s">
        <v>526</v>
      </c>
      <c r="D188" s="279" t="s">
        <v>528</v>
      </c>
      <c r="E188" s="279" t="s">
        <v>482</v>
      </c>
      <c r="F188" s="279" t="s">
        <v>474</v>
      </c>
      <c r="G188" s="279">
        <v>35700000</v>
      </c>
      <c r="H188" s="279">
        <v>1998</v>
      </c>
      <c r="I188" s="279">
        <v>0</v>
      </c>
      <c r="J188" s="279">
        <v>5</v>
      </c>
      <c r="K188" s="279" t="s">
        <v>508</v>
      </c>
      <c r="L188" s="279">
        <v>0</v>
      </c>
      <c r="M188" s="279" t="s">
        <v>864</v>
      </c>
      <c r="N188" s="279" t="s">
        <v>865</v>
      </c>
      <c r="O188" s="279" t="s">
        <v>126</v>
      </c>
      <c r="P188" s="279" t="s">
        <v>126</v>
      </c>
      <c r="Q188" s="279" t="s">
        <v>1040</v>
      </c>
      <c r="R188" s="279"/>
      <c r="S188" s="279">
        <v>60</v>
      </c>
      <c r="T188" s="279">
        <v>8.6</v>
      </c>
      <c r="U188" s="279" t="s">
        <v>536</v>
      </c>
      <c r="V188" s="279" t="s">
        <v>536</v>
      </c>
      <c r="W188" s="279" t="s">
        <v>473</v>
      </c>
      <c r="X188" s="279" t="s">
        <v>498</v>
      </c>
      <c r="Y188" s="279"/>
      <c r="Z188" s="279"/>
      <c r="AA188" s="279"/>
      <c r="AB188" s="279" t="s">
        <v>22</v>
      </c>
      <c r="AC188" s="279" t="s">
        <v>490</v>
      </c>
      <c r="AD188" s="279" t="s">
        <v>534</v>
      </c>
      <c r="AE188" s="279">
        <v>78659</v>
      </c>
      <c r="AF188" s="279" t="s">
        <v>473</v>
      </c>
      <c r="AG188" s="279"/>
      <c r="AH188" s="279"/>
      <c r="AI188" s="279">
        <v>20230509</v>
      </c>
      <c r="AJ188" s="462" t="s">
        <v>1151</v>
      </c>
      <c r="AK188" s="279"/>
      <c r="AL188" s="279" t="str">
        <f>IF(AB188="Y","단종모델",LEFT(N188,3)&amp;IFERROR(VLOOKUP(LEFT(N188,3)&amp;P188,#REF!,2,0),""))</f>
        <v>RSM</v>
      </c>
      <c r="AM188" s="469" t="str">
        <f t="shared" si="246"/>
        <v xml:space="preserve">QM6 LPG 2.0 (일반인 판매용) </v>
      </c>
      <c r="AN188" s="279">
        <f t="shared" si="236"/>
        <v>35700000</v>
      </c>
      <c r="AO188" s="279">
        <f t="shared" si="237"/>
        <v>1998</v>
      </c>
      <c r="AP188" s="279" t="str">
        <f t="shared" si="238"/>
        <v>L</v>
      </c>
      <c r="AQ188" s="279">
        <f t="shared" si="239"/>
        <v>5</v>
      </c>
      <c r="AR188" s="279" t="str">
        <f t="shared" si="240"/>
        <v>RV</v>
      </c>
      <c r="AS188" s="279" t="str">
        <f t="shared" si="241"/>
        <v>승용</v>
      </c>
      <c r="AT188" s="279" t="str">
        <f t="shared" si="242"/>
        <v>7급</v>
      </c>
      <c r="AU188" s="279" t="str">
        <f t="shared" si="243"/>
        <v>08:부산</v>
      </c>
      <c r="AV188" s="279">
        <f t="shared" si="235"/>
        <v>0</v>
      </c>
      <c r="AW188" s="279" t="str">
        <f t="shared" si="244"/>
        <v>D</v>
      </c>
      <c r="AX188" s="279" t="str">
        <f t="shared" si="245"/>
        <v>전략</v>
      </c>
      <c r="AY188" s="1352">
        <v>0.1</v>
      </c>
      <c r="AZ188" s="468"/>
      <c r="BA188" s="279" t="s">
        <v>1686</v>
      </c>
      <c r="BB188" s="279" t="s">
        <v>1653</v>
      </c>
      <c r="BC188" s="279"/>
      <c r="BD188" s="279" t="s">
        <v>1474</v>
      </c>
      <c r="BE188" s="279" t="str">
        <f t="shared" si="232"/>
        <v>르노코리아</v>
      </c>
      <c r="BF188" s="581">
        <v>4.1000000000000002E-2</v>
      </c>
      <c r="BG188" s="281">
        <v>0</v>
      </c>
      <c r="BH188" s="281">
        <v>0</v>
      </c>
      <c r="BI188" s="279"/>
      <c r="BJ188" s="279"/>
      <c r="BK188" s="279"/>
      <c r="BL188" s="279"/>
      <c r="BM188" s="279" t="s">
        <v>1548</v>
      </c>
      <c r="BN188" s="279"/>
      <c r="BO188" s="279"/>
      <c r="BP188" s="500">
        <f t="shared" si="233"/>
        <v>6.8000000000000005E-2</v>
      </c>
      <c r="BQ188" s="973">
        <f t="shared" si="234"/>
        <v>6.1000000000000006E-2</v>
      </c>
    </row>
    <row r="189" spans="1:69" s="460" customFormat="1" ht="15" customHeight="1">
      <c r="A189" s="281">
        <v>178</v>
      </c>
      <c r="B189" s="279">
        <v>400878665</v>
      </c>
      <c r="C189" s="279" t="s">
        <v>526</v>
      </c>
      <c r="D189" s="279" t="s">
        <v>528</v>
      </c>
      <c r="E189" s="279" t="s">
        <v>482</v>
      </c>
      <c r="F189" s="279" t="s">
        <v>474</v>
      </c>
      <c r="G189" s="279">
        <v>23806791</v>
      </c>
      <c r="H189" s="279">
        <v>1998</v>
      </c>
      <c r="I189" s="279">
        <v>0</v>
      </c>
      <c r="J189" s="279">
        <v>5</v>
      </c>
      <c r="K189" s="279" t="s">
        <v>537</v>
      </c>
      <c r="L189" s="279">
        <v>0</v>
      </c>
      <c r="M189" s="279" t="s">
        <v>864</v>
      </c>
      <c r="N189" s="279" t="s">
        <v>865</v>
      </c>
      <c r="O189" s="279" t="s">
        <v>126</v>
      </c>
      <c r="P189" s="279" t="s">
        <v>126</v>
      </c>
      <c r="Q189" s="279" t="s">
        <v>1041</v>
      </c>
      <c r="R189" s="279"/>
      <c r="S189" s="279">
        <v>60</v>
      </c>
      <c r="T189" s="279">
        <v>8.9</v>
      </c>
      <c r="U189" s="279" t="s">
        <v>535</v>
      </c>
      <c r="V189" s="279" t="s">
        <v>535</v>
      </c>
      <c r="W189" s="279" t="s">
        <v>473</v>
      </c>
      <c r="X189" s="279" t="s">
        <v>498</v>
      </c>
      <c r="Y189" s="279"/>
      <c r="Z189" s="279"/>
      <c r="AA189" s="279"/>
      <c r="AB189" s="279" t="s">
        <v>22</v>
      </c>
      <c r="AC189" s="279" t="s">
        <v>490</v>
      </c>
      <c r="AD189" s="279" t="s">
        <v>534</v>
      </c>
      <c r="AE189" s="279">
        <v>78665</v>
      </c>
      <c r="AF189" s="279" t="s">
        <v>473</v>
      </c>
      <c r="AG189" s="279"/>
      <c r="AH189" s="279"/>
      <c r="AI189" s="279">
        <v>20230509</v>
      </c>
      <c r="AJ189" s="462" t="s">
        <v>1151</v>
      </c>
      <c r="AK189" s="279"/>
      <c r="AL189" s="279" t="str">
        <f>IF(AB189="Y","단종모델",LEFT(N189,3)&amp;IFERROR(VLOOKUP(LEFT(N189,3)&amp;P189,#REF!,2,0),""))</f>
        <v>RSM</v>
      </c>
      <c r="AM189" s="469" t="str">
        <f t="shared" si="246"/>
        <v xml:space="preserve">QM6 LPG 2.0 (렌터카) </v>
      </c>
      <c r="AN189" s="279">
        <f t="shared" si="236"/>
        <v>23806791</v>
      </c>
      <c r="AO189" s="279">
        <f t="shared" si="237"/>
        <v>1998</v>
      </c>
      <c r="AP189" s="279" t="str">
        <f t="shared" si="238"/>
        <v>R</v>
      </c>
      <c r="AQ189" s="279">
        <f t="shared" si="239"/>
        <v>5</v>
      </c>
      <c r="AR189" s="279" t="str">
        <f t="shared" si="240"/>
        <v>RV</v>
      </c>
      <c r="AS189" s="279" t="str">
        <f t="shared" si="241"/>
        <v>승용</v>
      </c>
      <c r="AT189" s="279" t="str">
        <f t="shared" si="242"/>
        <v>7급</v>
      </c>
      <c r="AU189" s="279" t="str">
        <f t="shared" si="243"/>
        <v>08:부산</v>
      </c>
      <c r="AV189" s="279">
        <f t="shared" si="235"/>
        <v>0</v>
      </c>
      <c r="AW189" s="279" t="str">
        <f t="shared" si="244"/>
        <v>D</v>
      </c>
      <c r="AX189" s="279" t="str">
        <f t="shared" si="245"/>
        <v>전략</v>
      </c>
      <c r="AY189" s="1352">
        <v>0.1</v>
      </c>
      <c r="AZ189" s="468"/>
      <c r="BA189" s="279" t="s">
        <v>1686</v>
      </c>
      <c r="BB189" s="279" t="s">
        <v>1653</v>
      </c>
      <c r="BC189" s="279"/>
      <c r="BD189" s="279" t="s">
        <v>1474</v>
      </c>
      <c r="BE189" s="279" t="str">
        <f t="shared" si="232"/>
        <v>르노코리아</v>
      </c>
      <c r="BF189" s="581">
        <v>4.1000000000000002E-2</v>
      </c>
      <c r="BG189" s="281">
        <v>0</v>
      </c>
      <c r="BH189" s="281">
        <v>0</v>
      </c>
      <c r="BI189" s="279"/>
      <c r="BJ189" s="279"/>
      <c r="BK189" s="279"/>
      <c r="BL189" s="279"/>
      <c r="BM189" s="279" t="s">
        <v>1548</v>
      </c>
      <c r="BN189" s="279"/>
      <c r="BO189" s="279"/>
      <c r="BP189" s="500">
        <f t="shared" si="233"/>
        <v>6.8000000000000005E-2</v>
      </c>
      <c r="BQ189" s="973">
        <f t="shared" si="234"/>
        <v>6.1000000000000006E-2</v>
      </c>
    </row>
    <row r="190" spans="1:69" s="460" customFormat="1" ht="15" customHeight="1">
      <c r="A190" s="281">
        <v>179</v>
      </c>
      <c r="B190" s="282">
        <v>454582790</v>
      </c>
      <c r="C190" s="282" t="s">
        <v>527</v>
      </c>
      <c r="D190" s="282" t="s">
        <v>528</v>
      </c>
      <c r="E190" s="282" t="s">
        <v>482</v>
      </c>
      <c r="F190" s="282" t="s">
        <v>474</v>
      </c>
      <c r="G190" s="282">
        <v>22090000</v>
      </c>
      <c r="H190" s="284">
        <v>1497</v>
      </c>
      <c r="I190" s="282">
        <v>0</v>
      </c>
      <c r="J190" s="282">
        <v>5</v>
      </c>
      <c r="K190" s="282" t="s">
        <v>475</v>
      </c>
      <c r="L190" s="282">
        <v>0</v>
      </c>
      <c r="M190" s="279" t="s">
        <v>1704</v>
      </c>
      <c r="N190" s="282" t="s">
        <v>995</v>
      </c>
      <c r="O190" s="282" t="s">
        <v>1137</v>
      </c>
      <c r="P190" s="282" t="s">
        <v>130</v>
      </c>
      <c r="Q190" s="282" t="s">
        <v>1139</v>
      </c>
      <c r="R190" s="282"/>
      <c r="S190" s="282">
        <v>50</v>
      </c>
      <c r="T190" s="282">
        <v>12</v>
      </c>
      <c r="U190" s="282" t="s">
        <v>501</v>
      </c>
      <c r="V190" s="282" t="s">
        <v>501</v>
      </c>
      <c r="W190" s="282" t="s">
        <v>473</v>
      </c>
      <c r="X190" s="282" t="s">
        <v>478</v>
      </c>
      <c r="Y190" s="282"/>
      <c r="Z190" s="282"/>
      <c r="AA190" s="282"/>
      <c r="AB190" s="282" t="s">
        <v>26</v>
      </c>
      <c r="AC190" s="282" t="s">
        <v>490</v>
      </c>
      <c r="AD190" s="282" t="s">
        <v>491</v>
      </c>
      <c r="AE190" s="279">
        <v>82790</v>
      </c>
      <c r="AF190" s="279" t="s">
        <v>473</v>
      </c>
      <c r="AG190" s="279"/>
      <c r="AH190" s="279"/>
      <c r="AI190" s="279">
        <v>20230602</v>
      </c>
      <c r="AJ190" s="462" t="s">
        <v>1151</v>
      </c>
      <c r="AK190" s="279"/>
      <c r="AL190" s="279" t="str">
        <f>IF(AB190="Y","단종모델",LEFT(N190,3)&amp;IFERROR(VLOOKUP(LEFT(N190,3)&amp;P190,#REF!,2,0),""))</f>
        <v>SSY</v>
      </c>
      <c r="AM190" s="469" t="str">
        <f t="shared" si="246"/>
        <v xml:space="preserve">티볼리 가솔린 터보 1.5 </v>
      </c>
      <c r="AN190" s="279">
        <f t="shared" si="236"/>
        <v>22090000</v>
      </c>
      <c r="AO190" s="279">
        <f t="shared" si="237"/>
        <v>1497</v>
      </c>
      <c r="AP190" s="279" t="str">
        <f t="shared" si="238"/>
        <v>M</v>
      </c>
      <c r="AQ190" s="279">
        <f t="shared" si="239"/>
        <v>5</v>
      </c>
      <c r="AR190" s="279" t="str">
        <f t="shared" si="240"/>
        <v>RV</v>
      </c>
      <c r="AS190" s="279" t="str">
        <f t="shared" si="241"/>
        <v>승용</v>
      </c>
      <c r="AT190" s="279" t="str">
        <f t="shared" si="242"/>
        <v>7급</v>
      </c>
      <c r="AU190" s="279" t="str">
        <f t="shared" si="243"/>
        <v>12:평택</v>
      </c>
      <c r="AV190" s="279">
        <f t="shared" si="235"/>
        <v>3650</v>
      </c>
      <c r="AW190" s="279" t="str">
        <f t="shared" si="244"/>
        <v>D</v>
      </c>
      <c r="AX190" s="279" t="str">
        <f t="shared" si="245"/>
        <v>전략</v>
      </c>
      <c r="AY190" s="468">
        <v>2.8000000000000001E-2</v>
      </c>
      <c r="AZ190" s="468"/>
      <c r="BA190" s="279" t="s">
        <v>1686</v>
      </c>
      <c r="BB190" s="279" t="s">
        <v>1654</v>
      </c>
      <c r="BC190" s="279"/>
      <c r="BD190" s="279" t="s">
        <v>1474</v>
      </c>
      <c r="BE190" s="279" t="str">
        <f t="shared" si="232"/>
        <v>KG모빌리티</v>
      </c>
      <c r="BF190" s="581">
        <v>4.1000000000000002E-2</v>
      </c>
      <c r="BG190" s="281">
        <v>0</v>
      </c>
      <c r="BH190" s="281">
        <v>0</v>
      </c>
      <c r="BI190" s="279"/>
      <c r="BJ190" s="279"/>
      <c r="BK190" s="279"/>
      <c r="BL190" s="279"/>
      <c r="BM190" s="279" t="s">
        <v>1548</v>
      </c>
      <c r="BN190" s="279"/>
      <c r="BO190" s="279"/>
      <c r="BP190" s="500">
        <f t="shared" si="233"/>
        <v>6.8000000000000005E-2</v>
      </c>
      <c r="BQ190" s="973">
        <f t="shared" si="234"/>
        <v>6.1000000000000006E-2</v>
      </c>
    </row>
    <row r="191" spans="1:69" s="460" customFormat="1" ht="15" customHeight="1">
      <c r="A191" s="281">
        <v>180</v>
      </c>
      <c r="B191" s="282">
        <v>454582793</v>
      </c>
      <c r="C191" s="282" t="s">
        <v>527</v>
      </c>
      <c r="D191" s="282" t="s">
        <v>528</v>
      </c>
      <c r="E191" s="282" t="s">
        <v>482</v>
      </c>
      <c r="F191" s="282" t="s">
        <v>474</v>
      </c>
      <c r="G191" s="282">
        <v>18830000</v>
      </c>
      <c r="H191" s="284">
        <v>1597</v>
      </c>
      <c r="I191" s="282">
        <v>0</v>
      </c>
      <c r="J191" s="282">
        <v>5</v>
      </c>
      <c r="K191" s="282" t="s">
        <v>475</v>
      </c>
      <c r="L191" s="282">
        <v>0</v>
      </c>
      <c r="M191" s="279" t="s">
        <v>1704</v>
      </c>
      <c r="N191" s="282" t="s">
        <v>995</v>
      </c>
      <c r="O191" s="282" t="s">
        <v>1137</v>
      </c>
      <c r="P191" s="282" t="s">
        <v>130</v>
      </c>
      <c r="Q191" s="282" t="s">
        <v>1017</v>
      </c>
      <c r="R191" s="282"/>
      <c r="S191" s="282">
        <v>50</v>
      </c>
      <c r="T191" s="282">
        <v>11.6</v>
      </c>
      <c r="U191" s="282" t="s">
        <v>501</v>
      </c>
      <c r="V191" s="282" t="s">
        <v>501</v>
      </c>
      <c r="W191" s="282" t="s">
        <v>473</v>
      </c>
      <c r="X191" s="282" t="s">
        <v>478</v>
      </c>
      <c r="Y191" s="282"/>
      <c r="Z191" s="282"/>
      <c r="AA191" s="282"/>
      <c r="AB191" s="282" t="s">
        <v>26</v>
      </c>
      <c r="AC191" s="282" t="s">
        <v>490</v>
      </c>
      <c r="AD191" s="282" t="s">
        <v>491</v>
      </c>
      <c r="AE191" s="279">
        <v>82793</v>
      </c>
      <c r="AF191" s="279" t="s">
        <v>473</v>
      </c>
      <c r="AG191" s="279"/>
      <c r="AH191" s="279"/>
      <c r="AI191" s="279">
        <v>20230602</v>
      </c>
      <c r="AJ191" s="462" t="s">
        <v>1151</v>
      </c>
      <c r="AK191" s="279"/>
      <c r="AL191" s="279" t="str">
        <f>IF(AB191="Y","단종모델",LEFT(N191,3)&amp;IFERROR(VLOOKUP(LEFT(N191,3)&amp;P191,#REF!,2,0),""))</f>
        <v>SSY</v>
      </c>
      <c r="AM191" s="469" t="str">
        <f t="shared" ref="AM191" si="257">O191&amp;" "&amp;Q191&amp;" "&amp;R191</f>
        <v xml:space="preserve">티볼리 가솔린 1.6 </v>
      </c>
      <c r="AN191" s="279">
        <f t="shared" ref="AN191" si="258">G191</f>
        <v>18830000</v>
      </c>
      <c r="AO191" s="279">
        <f t="shared" ref="AO191" si="259">H191</f>
        <v>1597</v>
      </c>
      <c r="AP191" s="279" t="str">
        <f t="shared" ref="AP191" si="260">LEFT(K191,1)</f>
        <v>M</v>
      </c>
      <c r="AQ191" s="279">
        <f t="shared" ref="AQ191" si="261">J191</f>
        <v>5</v>
      </c>
      <c r="AR191" s="279" t="str">
        <f t="shared" ref="AR191" si="262">RIGHT(D191,2)</f>
        <v>RV</v>
      </c>
      <c r="AS191" s="279" t="str">
        <f t="shared" ref="AS191" si="263">MID(W191,4,3)</f>
        <v>승용</v>
      </c>
      <c r="AT191" s="279" t="str">
        <f t="shared" si="242"/>
        <v>7급</v>
      </c>
      <c r="AU191" s="279" t="str">
        <f t="shared" si="243"/>
        <v>12:평택</v>
      </c>
      <c r="AV191" s="279">
        <f t="shared" si="235"/>
        <v>3650</v>
      </c>
      <c r="AW191" s="279" t="str">
        <f t="shared" si="244"/>
        <v>D</v>
      </c>
      <c r="AX191" s="279" t="str">
        <f t="shared" si="245"/>
        <v>전략</v>
      </c>
      <c r="AY191" s="468">
        <v>2.8000000000000001E-2</v>
      </c>
      <c r="AZ191" s="468"/>
      <c r="BA191" s="279" t="s">
        <v>1686</v>
      </c>
      <c r="BB191" s="279" t="s">
        <v>1654</v>
      </c>
      <c r="BC191" s="279"/>
      <c r="BD191" s="279" t="s">
        <v>1474</v>
      </c>
      <c r="BE191" s="279" t="str">
        <f t="shared" si="232"/>
        <v>KG모빌리티</v>
      </c>
      <c r="BF191" s="581">
        <v>4.1000000000000002E-2</v>
      </c>
      <c r="BG191" s="281">
        <v>0</v>
      </c>
      <c r="BH191" s="281">
        <v>0</v>
      </c>
      <c r="BI191" s="279"/>
      <c r="BJ191" s="279"/>
      <c r="BK191" s="279"/>
      <c r="BL191" s="279"/>
      <c r="BM191" s="279" t="s">
        <v>1548</v>
      </c>
      <c r="BN191" s="279"/>
      <c r="BO191" s="279"/>
      <c r="BP191" s="500">
        <f t="shared" si="233"/>
        <v>6.8000000000000005E-2</v>
      </c>
      <c r="BQ191" s="973">
        <f t="shared" si="234"/>
        <v>6.1000000000000006E-2</v>
      </c>
    </row>
    <row r="192" spans="1:69" s="460" customFormat="1" ht="15" customHeight="1">
      <c r="A192" s="281">
        <v>181</v>
      </c>
      <c r="B192" s="282">
        <v>454682795</v>
      </c>
      <c r="C192" s="282" t="s">
        <v>527</v>
      </c>
      <c r="D192" s="282" t="s">
        <v>528</v>
      </c>
      <c r="E192" s="282" t="s">
        <v>482</v>
      </c>
      <c r="F192" s="282" t="s">
        <v>474</v>
      </c>
      <c r="G192" s="282">
        <v>22940000</v>
      </c>
      <c r="H192" s="284">
        <v>1497</v>
      </c>
      <c r="I192" s="282">
        <v>0</v>
      </c>
      <c r="J192" s="282">
        <v>5</v>
      </c>
      <c r="K192" s="282" t="s">
        <v>475</v>
      </c>
      <c r="L192" s="282">
        <v>0</v>
      </c>
      <c r="M192" s="279" t="s">
        <v>1704</v>
      </c>
      <c r="N192" s="282" t="s">
        <v>995</v>
      </c>
      <c r="O192" s="282" t="s">
        <v>1137</v>
      </c>
      <c r="P192" s="282" t="s">
        <v>130</v>
      </c>
      <c r="Q192" s="282" t="s">
        <v>1140</v>
      </c>
      <c r="R192" s="282"/>
      <c r="S192" s="282">
        <v>50</v>
      </c>
      <c r="T192" s="282">
        <v>12</v>
      </c>
      <c r="U192" s="282" t="s">
        <v>501</v>
      </c>
      <c r="V192" s="282" t="s">
        <v>501</v>
      </c>
      <c r="W192" s="282" t="s">
        <v>473</v>
      </c>
      <c r="X192" s="282" t="s">
        <v>478</v>
      </c>
      <c r="Y192" s="282"/>
      <c r="Z192" s="282"/>
      <c r="AA192" s="282"/>
      <c r="AB192" s="282" t="s">
        <v>26</v>
      </c>
      <c r="AC192" s="282" t="s">
        <v>490</v>
      </c>
      <c r="AD192" s="282" t="s">
        <v>491</v>
      </c>
      <c r="AE192" s="279">
        <v>82795</v>
      </c>
      <c r="AF192" s="279" t="s">
        <v>473</v>
      </c>
      <c r="AG192" s="279"/>
      <c r="AH192" s="279"/>
      <c r="AI192" s="279">
        <v>20230511</v>
      </c>
      <c r="AJ192" s="462" t="s">
        <v>1151</v>
      </c>
      <c r="AK192" s="279"/>
      <c r="AL192" s="279" t="str">
        <f>IF(AB192="Y","단종모델",LEFT(N192,3)&amp;IFERROR(VLOOKUP(LEFT(N192,3)&amp;P192,#REF!,2,0),""))</f>
        <v>SSY</v>
      </c>
      <c r="AM192" s="469" t="str">
        <f t="shared" ref="AM192" si="264">O192&amp;" "&amp;Q192&amp;" "&amp;R192</f>
        <v xml:space="preserve">티볼리 에어 가솔린 터보 1.5 </v>
      </c>
      <c r="AN192" s="279">
        <f t="shared" si="236"/>
        <v>22940000</v>
      </c>
      <c r="AO192" s="279">
        <f t="shared" si="237"/>
        <v>1497</v>
      </c>
      <c r="AP192" s="279" t="str">
        <f t="shared" si="238"/>
        <v>M</v>
      </c>
      <c r="AQ192" s="279">
        <f t="shared" si="239"/>
        <v>5</v>
      </c>
      <c r="AR192" s="279" t="str">
        <f t="shared" si="240"/>
        <v>RV</v>
      </c>
      <c r="AS192" s="279" t="str">
        <f t="shared" si="241"/>
        <v>승용</v>
      </c>
      <c r="AT192" s="279" t="str">
        <f t="shared" si="242"/>
        <v>7급</v>
      </c>
      <c r="AU192" s="279" t="str">
        <f t="shared" si="243"/>
        <v>12:평택</v>
      </c>
      <c r="AV192" s="279">
        <f t="shared" si="235"/>
        <v>3650</v>
      </c>
      <c r="AW192" s="279" t="str">
        <f t="shared" si="244"/>
        <v>D</v>
      </c>
      <c r="AX192" s="279" t="str">
        <f t="shared" si="245"/>
        <v>전략</v>
      </c>
      <c r="AY192" s="468">
        <v>2.8000000000000001E-2</v>
      </c>
      <c r="AZ192" s="468"/>
      <c r="BA192" s="279" t="s">
        <v>1690</v>
      </c>
      <c r="BB192" s="279" t="s">
        <v>1651</v>
      </c>
      <c r="BC192" s="279"/>
      <c r="BD192" s="279" t="s">
        <v>1474</v>
      </c>
      <c r="BE192" s="279" t="str">
        <f t="shared" si="232"/>
        <v>KG모빌리티</v>
      </c>
      <c r="BF192" s="581">
        <v>4.1000000000000002E-2</v>
      </c>
      <c r="BG192" s="281">
        <v>0</v>
      </c>
      <c r="BH192" s="281">
        <v>0</v>
      </c>
      <c r="BI192" s="279"/>
      <c r="BJ192" s="279"/>
      <c r="BK192" s="279"/>
      <c r="BL192" s="279"/>
      <c r="BM192" s="279" t="s">
        <v>1548</v>
      </c>
      <c r="BN192" s="279"/>
      <c r="BO192" s="279"/>
      <c r="BP192" s="500">
        <f t="shared" si="233"/>
        <v>6.8000000000000005E-2</v>
      </c>
      <c r="BQ192" s="973">
        <f t="shared" si="234"/>
        <v>6.1000000000000006E-2</v>
      </c>
    </row>
    <row r="193" spans="1:69" s="460" customFormat="1" ht="15" customHeight="1">
      <c r="A193" s="281">
        <v>182</v>
      </c>
      <c r="B193" s="466">
        <v>363562027</v>
      </c>
      <c r="C193" s="467" t="s">
        <v>527</v>
      </c>
      <c r="D193" s="467" t="s">
        <v>528</v>
      </c>
      <c r="E193" s="467" t="s">
        <v>482</v>
      </c>
      <c r="F193" s="467" t="s">
        <v>474</v>
      </c>
      <c r="G193" s="467">
        <v>22560000</v>
      </c>
      <c r="H193" s="467">
        <v>1497</v>
      </c>
      <c r="I193" s="467">
        <v>0</v>
      </c>
      <c r="J193" s="467">
        <v>5</v>
      </c>
      <c r="K193" s="467" t="s">
        <v>475</v>
      </c>
      <c r="L193" s="467">
        <v>0</v>
      </c>
      <c r="M193" s="279" t="s">
        <v>1704</v>
      </c>
      <c r="N193" s="282" t="s">
        <v>995</v>
      </c>
      <c r="O193" s="467" t="s">
        <v>533</v>
      </c>
      <c r="P193" s="467" t="s">
        <v>129</v>
      </c>
      <c r="Q193" s="467" t="s">
        <v>529</v>
      </c>
      <c r="R193" s="467" t="s">
        <v>984</v>
      </c>
      <c r="S193" s="467">
        <v>0</v>
      </c>
      <c r="T193" s="467">
        <v>11.3</v>
      </c>
      <c r="U193" s="467" t="s">
        <v>512</v>
      </c>
      <c r="V193" s="467" t="s">
        <v>512</v>
      </c>
      <c r="W193" s="467" t="s">
        <v>473</v>
      </c>
      <c r="X193" s="467" t="s">
        <v>478</v>
      </c>
      <c r="Y193" s="282"/>
      <c r="Z193" s="282"/>
      <c r="AA193" s="282"/>
      <c r="AB193" s="279" t="s">
        <v>26</v>
      </c>
      <c r="AC193" s="279" t="s">
        <v>490</v>
      </c>
      <c r="AD193" s="279" t="s">
        <v>491</v>
      </c>
      <c r="AE193" s="279">
        <v>62027</v>
      </c>
      <c r="AF193" s="279" t="s">
        <v>473</v>
      </c>
      <c r="AG193" s="279"/>
      <c r="AH193" s="279">
        <v>0</v>
      </c>
      <c r="AI193" s="279">
        <v>20230509</v>
      </c>
      <c r="AJ193" s="462" t="s">
        <v>1219</v>
      </c>
      <c r="AK193" s="279"/>
      <c r="AL193" s="279" t="str">
        <f>IF(AB193="Y","단종모델",LEFT(N193,3)&amp;IFERROR(VLOOKUP(LEFT(N193,3)&amp;P193,#REF!,2,0),""))</f>
        <v>SSY</v>
      </c>
      <c r="AM193" s="469" t="str">
        <f t="shared" si="246"/>
        <v>코란도 신형 1.5 가솔린 2WD</v>
      </c>
      <c r="AN193" s="279">
        <f t="shared" si="236"/>
        <v>22560000</v>
      </c>
      <c r="AO193" s="279">
        <f t="shared" si="237"/>
        <v>1497</v>
      </c>
      <c r="AP193" s="279" t="str">
        <f t="shared" si="238"/>
        <v>M</v>
      </c>
      <c r="AQ193" s="279">
        <f t="shared" si="239"/>
        <v>5</v>
      </c>
      <c r="AR193" s="279" t="str">
        <f t="shared" si="240"/>
        <v>RV</v>
      </c>
      <c r="AS193" s="279" t="str">
        <f t="shared" si="241"/>
        <v>승용</v>
      </c>
      <c r="AT193" s="279" t="str">
        <f t="shared" si="242"/>
        <v>7급</v>
      </c>
      <c r="AU193" s="279" t="str">
        <f t="shared" si="243"/>
        <v>12:평택</v>
      </c>
      <c r="AV193" s="279">
        <f t="shared" si="235"/>
        <v>3650</v>
      </c>
      <c r="AW193" s="279" t="str">
        <f t="shared" si="244"/>
        <v>D</v>
      </c>
      <c r="AX193" s="279" t="str">
        <f t="shared" si="245"/>
        <v>일반</v>
      </c>
      <c r="AY193" s="468">
        <v>2.8000000000000001E-2</v>
      </c>
      <c r="AZ193" s="468"/>
      <c r="BA193" s="279" t="s">
        <v>1647</v>
      </c>
      <c r="BB193" s="279" t="s">
        <v>1651</v>
      </c>
      <c r="BC193" s="279"/>
      <c r="BD193" s="279" t="s">
        <v>1474</v>
      </c>
      <c r="BE193" s="279" t="str">
        <f t="shared" si="232"/>
        <v>KG모빌리티</v>
      </c>
      <c r="BF193" s="581">
        <v>4.1000000000000002E-2</v>
      </c>
      <c r="BG193" s="281">
        <v>0</v>
      </c>
      <c r="BH193" s="281">
        <v>0</v>
      </c>
      <c r="BI193" s="279"/>
      <c r="BJ193" s="279"/>
      <c r="BK193" s="279"/>
      <c r="BL193" s="279"/>
      <c r="BM193" s="279" t="s">
        <v>1548</v>
      </c>
      <c r="BN193" s="279"/>
      <c r="BO193" s="279"/>
      <c r="BP193" s="500">
        <f t="shared" si="233"/>
        <v>9.2999999999999999E-2</v>
      </c>
      <c r="BQ193" s="973">
        <f t="shared" si="234"/>
        <v>8.5999999999999993E-2</v>
      </c>
    </row>
    <row r="194" spans="1:69" s="460" customFormat="1" ht="15" customHeight="1">
      <c r="A194" s="281">
        <v>183</v>
      </c>
      <c r="B194" s="466">
        <v>363562028</v>
      </c>
      <c r="C194" s="467" t="s">
        <v>527</v>
      </c>
      <c r="D194" s="467" t="s">
        <v>528</v>
      </c>
      <c r="E194" s="467" t="s">
        <v>482</v>
      </c>
      <c r="F194" s="467" t="s">
        <v>474</v>
      </c>
      <c r="G194" s="467">
        <v>23500000</v>
      </c>
      <c r="H194" s="467">
        <v>1497</v>
      </c>
      <c r="I194" s="467">
        <v>0</v>
      </c>
      <c r="J194" s="467">
        <v>5</v>
      </c>
      <c r="K194" s="467" t="s">
        <v>475</v>
      </c>
      <c r="L194" s="467">
        <v>0</v>
      </c>
      <c r="M194" s="279" t="s">
        <v>1704</v>
      </c>
      <c r="N194" s="282" t="s">
        <v>995</v>
      </c>
      <c r="O194" s="467" t="s">
        <v>533</v>
      </c>
      <c r="P194" s="467" t="s">
        <v>129</v>
      </c>
      <c r="Q194" s="467" t="s">
        <v>529</v>
      </c>
      <c r="R194" s="467" t="s">
        <v>985</v>
      </c>
      <c r="S194" s="467">
        <v>0</v>
      </c>
      <c r="T194" s="467">
        <v>11.3</v>
      </c>
      <c r="U194" s="467" t="s">
        <v>512</v>
      </c>
      <c r="V194" s="467" t="s">
        <v>512</v>
      </c>
      <c r="W194" s="467" t="s">
        <v>473</v>
      </c>
      <c r="X194" s="467" t="s">
        <v>478</v>
      </c>
      <c r="Y194" s="282"/>
      <c r="Z194" s="282"/>
      <c r="AA194" s="282"/>
      <c r="AB194" s="279" t="s">
        <v>26</v>
      </c>
      <c r="AC194" s="279" t="s">
        <v>490</v>
      </c>
      <c r="AD194" s="279" t="s">
        <v>491</v>
      </c>
      <c r="AE194" s="279">
        <v>62028</v>
      </c>
      <c r="AF194" s="279" t="s">
        <v>473</v>
      </c>
      <c r="AG194" s="279"/>
      <c r="AH194" s="279">
        <v>0</v>
      </c>
      <c r="AI194" s="279">
        <v>20230509</v>
      </c>
      <c r="AJ194" s="462" t="s">
        <v>1219</v>
      </c>
      <c r="AK194" s="279"/>
      <c r="AL194" s="279" t="str">
        <f>IF(AB194="Y","단종모델",LEFT(N194,3)&amp;IFERROR(VLOOKUP(LEFT(N194,3)&amp;P194,#REF!,2,0),""))</f>
        <v>SSY</v>
      </c>
      <c r="AM194" s="469" t="str">
        <f t="shared" si="246"/>
        <v>코란도 신형 1.5 가솔린 AWD</v>
      </c>
      <c r="AN194" s="279">
        <f t="shared" si="236"/>
        <v>23500000</v>
      </c>
      <c r="AO194" s="279">
        <f t="shared" si="237"/>
        <v>1497</v>
      </c>
      <c r="AP194" s="279" t="str">
        <f t="shared" si="238"/>
        <v>M</v>
      </c>
      <c r="AQ194" s="279">
        <f t="shared" si="239"/>
        <v>5</v>
      </c>
      <c r="AR194" s="279" t="str">
        <f t="shared" si="240"/>
        <v>RV</v>
      </c>
      <c r="AS194" s="279" t="str">
        <f t="shared" si="241"/>
        <v>승용</v>
      </c>
      <c r="AT194" s="279" t="str">
        <f t="shared" si="242"/>
        <v>7급</v>
      </c>
      <c r="AU194" s="279" t="str">
        <f t="shared" si="243"/>
        <v>12:평택</v>
      </c>
      <c r="AV194" s="279">
        <f t="shared" si="235"/>
        <v>3650</v>
      </c>
      <c r="AW194" s="279" t="str">
        <f t="shared" si="244"/>
        <v>D</v>
      </c>
      <c r="AX194" s="279" t="str">
        <f t="shared" si="245"/>
        <v>일반</v>
      </c>
      <c r="AY194" s="468">
        <v>2.8000000000000001E-2</v>
      </c>
      <c r="AZ194" s="468"/>
      <c r="BA194" s="279" t="s">
        <v>1647</v>
      </c>
      <c r="BB194" s="279" t="s">
        <v>1651</v>
      </c>
      <c r="BC194" s="279"/>
      <c r="BD194" s="279" t="s">
        <v>1474</v>
      </c>
      <c r="BE194" s="279" t="str">
        <f t="shared" si="232"/>
        <v>KG모빌리티</v>
      </c>
      <c r="BF194" s="581">
        <v>4.1000000000000002E-2</v>
      </c>
      <c r="BG194" s="281">
        <v>0</v>
      </c>
      <c r="BH194" s="281">
        <v>0</v>
      </c>
      <c r="BI194" s="279"/>
      <c r="BJ194" s="279"/>
      <c r="BK194" s="279"/>
      <c r="BL194" s="279"/>
      <c r="BM194" s="279" t="s">
        <v>1548</v>
      </c>
      <c r="BN194" s="279"/>
      <c r="BO194" s="279"/>
      <c r="BP194" s="500">
        <f t="shared" si="233"/>
        <v>9.2999999999999999E-2</v>
      </c>
      <c r="BQ194" s="973">
        <f t="shared" si="234"/>
        <v>8.5999999999999993E-2</v>
      </c>
    </row>
    <row r="195" spans="1:69" s="460" customFormat="1" ht="15" customHeight="1">
      <c r="A195" s="281">
        <v>184</v>
      </c>
      <c r="B195" s="279">
        <v>462288289</v>
      </c>
      <c r="C195" s="279" t="s">
        <v>527</v>
      </c>
      <c r="D195" s="279" t="s">
        <v>528</v>
      </c>
      <c r="E195" s="279" t="s">
        <v>482</v>
      </c>
      <c r="F195" s="279" t="s">
        <v>474</v>
      </c>
      <c r="G195" s="279">
        <v>33950000</v>
      </c>
      <c r="H195" s="279">
        <v>1497</v>
      </c>
      <c r="I195" s="279">
        <v>0</v>
      </c>
      <c r="J195" s="279">
        <v>5</v>
      </c>
      <c r="K195" s="279" t="s">
        <v>475</v>
      </c>
      <c r="L195" s="279">
        <v>0</v>
      </c>
      <c r="M195" s="279" t="s">
        <v>956</v>
      </c>
      <c r="N195" s="279" t="s">
        <v>995</v>
      </c>
      <c r="O195" s="279" t="s">
        <v>1762</v>
      </c>
      <c r="P195" s="279" t="s">
        <v>1763</v>
      </c>
      <c r="Q195" s="277" t="s">
        <v>1764</v>
      </c>
      <c r="R195" s="467" t="s">
        <v>984</v>
      </c>
      <c r="S195" s="279">
        <v>50</v>
      </c>
      <c r="T195" s="279">
        <v>11</v>
      </c>
      <c r="U195" s="279" t="s">
        <v>573</v>
      </c>
      <c r="V195" s="279" t="s">
        <v>573</v>
      </c>
      <c r="W195" s="279" t="s">
        <v>473</v>
      </c>
      <c r="X195" s="279" t="s">
        <v>478</v>
      </c>
      <c r="Y195" s="279"/>
      <c r="Z195" s="279"/>
      <c r="AA195" s="279"/>
      <c r="AB195" s="279" t="s">
        <v>26</v>
      </c>
      <c r="AC195" s="279" t="s">
        <v>490</v>
      </c>
      <c r="AD195" s="279" t="s">
        <v>491</v>
      </c>
      <c r="AE195" s="279">
        <v>88289</v>
      </c>
      <c r="AF195" s="279" t="s">
        <v>473</v>
      </c>
      <c r="AG195" s="279"/>
      <c r="AH195" s="279">
        <v>0</v>
      </c>
      <c r="AI195" s="279">
        <v>20240819</v>
      </c>
      <c r="AJ195" s="462" t="s">
        <v>1151</v>
      </c>
      <c r="AK195" s="279"/>
      <c r="AL195" s="279" t="str">
        <f>IF(AB195="Y","단종모델",LEFT(N195,3)&amp;IFERROR(VLOOKUP(LEFT(N195,3)&amp;P195,#REF!,2,0),""))</f>
        <v>SSY</v>
      </c>
      <c r="AM195" s="469" t="str">
        <f t="shared" ref="AM195" si="265">O195&amp;" "&amp;Q195&amp;" "&amp;R195</f>
        <v>액티언 가솔린 터보 1.5 2WD</v>
      </c>
      <c r="AN195" s="279">
        <f t="shared" ref="AN195" si="266">G195</f>
        <v>33950000</v>
      </c>
      <c r="AO195" s="279">
        <f t="shared" ref="AO195" si="267">H195</f>
        <v>1497</v>
      </c>
      <c r="AP195" s="279" t="str">
        <f t="shared" ref="AP195" si="268">LEFT(K195,1)</f>
        <v>M</v>
      </c>
      <c r="AQ195" s="279">
        <f t="shared" ref="AQ195" si="269">J195</f>
        <v>5</v>
      </c>
      <c r="AR195" s="279" t="str">
        <f t="shared" ref="AR195" si="270">RIGHT(D195,2)</f>
        <v>RV</v>
      </c>
      <c r="AS195" s="279" t="str">
        <f t="shared" ref="AS195" si="271">MID(W195,4,3)</f>
        <v>승용</v>
      </c>
      <c r="AT195" s="279" t="str">
        <f t="shared" ref="AT195" si="272">RIGHT(AC195,2)</f>
        <v>7급</v>
      </c>
      <c r="AU195" s="279" t="str">
        <f t="shared" ref="AU195" si="273">AB195</f>
        <v>12:평택</v>
      </c>
      <c r="AV195" s="279">
        <f t="shared" si="235"/>
        <v>3650</v>
      </c>
      <c r="AW195" s="279" t="str">
        <f t="shared" ref="AW195" si="274">LEFT(F195,1)</f>
        <v>D</v>
      </c>
      <c r="AX195" s="279" t="str">
        <f t="shared" ref="AX195" si="275">AJ195</f>
        <v>전략</v>
      </c>
      <c r="AY195" s="975">
        <v>1.7999999999999999E-2</v>
      </c>
      <c r="AZ195" s="468"/>
      <c r="BA195" s="1368" t="s">
        <v>1634</v>
      </c>
      <c r="BB195" s="279" t="s">
        <v>1775</v>
      </c>
      <c r="BC195" s="279"/>
      <c r="BD195" s="279" t="s">
        <v>1474</v>
      </c>
      <c r="BE195" s="279" t="str">
        <f t="shared" ref="BE195" si="276">M195</f>
        <v>KG모빌리티</v>
      </c>
      <c r="BF195" s="581">
        <v>4.1000000000000002E-2</v>
      </c>
      <c r="BG195" s="281">
        <v>0</v>
      </c>
      <c r="BH195" s="281">
        <v>0</v>
      </c>
      <c r="BI195" s="279"/>
      <c r="BJ195" s="279"/>
      <c r="BK195" s="279"/>
      <c r="BL195" s="279"/>
      <c r="BM195" s="279" t="s">
        <v>1548</v>
      </c>
      <c r="BN195" s="279"/>
      <c r="BO195" s="279"/>
      <c r="BP195" s="500">
        <f t="shared" si="233"/>
        <v>6.8000000000000005E-2</v>
      </c>
      <c r="BQ195" s="973">
        <f t="shared" ref="BQ195" si="277">BP195-0.007</f>
        <v>6.1000000000000006E-2</v>
      </c>
    </row>
    <row r="196" spans="1:69" s="460" customFormat="1" ht="15" customHeight="1">
      <c r="A196" s="281">
        <v>185</v>
      </c>
      <c r="B196" s="279">
        <v>462288425</v>
      </c>
      <c r="C196" s="279" t="s">
        <v>527</v>
      </c>
      <c r="D196" s="279" t="s">
        <v>528</v>
      </c>
      <c r="E196" s="279" t="s">
        <v>482</v>
      </c>
      <c r="F196" s="279" t="s">
        <v>474</v>
      </c>
      <c r="G196" s="279">
        <v>35970000</v>
      </c>
      <c r="H196" s="279">
        <v>1497</v>
      </c>
      <c r="I196" s="279">
        <v>0</v>
      </c>
      <c r="J196" s="279">
        <v>5</v>
      </c>
      <c r="K196" s="279" t="s">
        <v>475</v>
      </c>
      <c r="L196" s="279">
        <v>0</v>
      </c>
      <c r="M196" s="279" t="s">
        <v>956</v>
      </c>
      <c r="N196" s="279" t="s">
        <v>995</v>
      </c>
      <c r="O196" s="279" t="s">
        <v>1762</v>
      </c>
      <c r="P196" s="279" t="s">
        <v>1763</v>
      </c>
      <c r="Q196" s="277" t="s">
        <v>1764</v>
      </c>
      <c r="R196" s="467" t="s">
        <v>985</v>
      </c>
      <c r="S196" s="279">
        <v>50</v>
      </c>
      <c r="T196" s="279">
        <v>10.1</v>
      </c>
      <c r="U196" s="279" t="s">
        <v>573</v>
      </c>
      <c r="V196" s="279" t="s">
        <v>573</v>
      </c>
      <c r="W196" s="279" t="s">
        <v>473</v>
      </c>
      <c r="X196" s="279" t="s">
        <v>478</v>
      </c>
      <c r="Y196" s="279"/>
      <c r="Z196" s="279"/>
      <c r="AA196" s="279"/>
      <c r="AB196" s="279" t="s">
        <v>26</v>
      </c>
      <c r="AC196" s="279" t="s">
        <v>490</v>
      </c>
      <c r="AD196" s="279" t="s">
        <v>491</v>
      </c>
      <c r="AE196" s="279">
        <v>88425</v>
      </c>
      <c r="AF196" s="279" t="s">
        <v>473</v>
      </c>
      <c r="AG196" s="279"/>
      <c r="AH196" s="279">
        <v>0</v>
      </c>
      <c r="AI196" s="279">
        <v>20240819</v>
      </c>
      <c r="AJ196" s="462" t="s">
        <v>1151</v>
      </c>
      <c r="AK196" s="279"/>
      <c r="AL196" s="279" t="str">
        <f>IF(AB196="Y","단종모델",LEFT(N196,3)&amp;IFERROR(VLOOKUP(LEFT(N196,3)&amp;P196,#REF!,2,0),""))</f>
        <v>SSY</v>
      </c>
      <c r="AM196" s="469" t="str">
        <f t="shared" ref="AM196" si="278">O196&amp;" "&amp;Q196&amp;" "&amp;R196</f>
        <v>액티언 가솔린 터보 1.5 AWD</v>
      </c>
      <c r="AN196" s="279">
        <f t="shared" ref="AN196" si="279">G196</f>
        <v>35970000</v>
      </c>
      <c r="AO196" s="279">
        <f t="shared" ref="AO196" si="280">H196</f>
        <v>1497</v>
      </c>
      <c r="AP196" s="279" t="str">
        <f t="shared" ref="AP196" si="281">LEFT(K196,1)</f>
        <v>M</v>
      </c>
      <c r="AQ196" s="279">
        <f t="shared" ref="AQ196" si="282">J196</f>
        <v>5</v>
      </c>
      <c r="AR196" s="279" t="str">
        <f t="shared" ref="AR196" si="283">RIGHT(D196,2)</f>
        <v>RV</v>
      </c>
      <c r="AS196" s="279" t="str">
        <f t="shared" ref="AS196" si="284">MID(W196,4,3)</f>
        <v>승용</v>
      </c>
      <c r="AT196" s="279" t="str">
        <f t="shared" ref="AT196" si="285">RIGHT(AC196,2)</f>
        <v>7급</v>
      </c>
      <c r="AU196" s="279" t="str">
        <f t="shared" ref="AU196" si="286">AB196</f>
        <v>12:평택</v>
      </c>
      <c r="AV196" s="279">
        <f t="shared" ref="AV196" si="287">IF(AND(BE196="기아",AQ196&lt;7),1900,IF(AND(BE196="기아",AQ196&gt;6,AQ196&lt;11),2500,IF(AND(BE196="기아",AQ196&gt;10),3500,IF(AND(BE196="KG모빌리티",AQ196&lt;7),3650,IF(AND(BE196="KG모빌리티",AQ196&gt;6),4300,0)))))</f>
        <v>3650</v>
      </c>
      <c r="AW196" s="279" t="str">
        <f t="shared" ref="AW196" si="288">LEFT(F196,1)</f>
        <v>D</v>
      </c>
      <c r="AX196" s="279" t="str">
        <f t="shared" ref="AX196" si="289">AJ196</f>
        <v>전략</v>
      </c>
      <c r="AY196" s="975">
        <v>1.7999999999999999E-2</v>
      </c>
      <c r="AZ196" s="468"/>
      <c r="BA196" s="1368" t="s">
        <v>1634</v>
      </c>
      <c r="BB196" s="279" t="s">
        <v>1775</v>
      </c>
      <c r="BC196" s="279"/>
      <c r="BD196" s="279" t="s">
        <v>1474</v>
      </c>
      <c r="BE196" s="279" t="str">
        <f t="shared" ref="BE196" si="290">M196</f>
        <v>KG모빌리티</v>
      </c>
      <c r="BF196" s="581">
        <v>4.1000000000000002E-2</v>
      </c>
      <c r="BG196" s="281">
        <v>0</v>
      </c>
      <c r="BH196" s="281">
        <v>0</v>
      </c>
      <c r="BI196" s="279"/>
      <c r="BJ196" s="279"/>
      <c r="BK196" s="279"/>
      <c r="BL196" s="279"/>
      <c r="BM196" s="279" t="s">
        <v>1548</v>
      </c>
      <c r="BN196" s="279"/>
      <c r="BO196" s="279"/>
      <c r="BP196" s="500">
        <f t="shared" si="233"/>
        <v>6.8000000000000005E-2</v>
      </c>
      <c r="BQ196" s="973">
        <f t="shared" ref="BQ196" si="291">BP196-0.007</f>
        <v>6.1000000000000006E-2</v>
      </c>
    </row>
    <row r="197" spans="1:69" s="460" customFormat="1" ht="15" customHeight="1">
      <c r="A197" s="281">
        <v>186</v>
      </c>
      <c r="B197" s="279">
        <v>451884779</v>
      </c>
      <c r="C197" s="279" t="s">
        <v>527</v>
      </c>
      <c r="D197" s="279" t="s">
        <v>528</v>
      </c>
      <c r="E197" s="279" t="s">
        <v>482</v>
      </c>
      <c r="F197" s="279" t="s">
        <v>474</v>
      </c>
      <c r="G197" s="279">
        <v>40100000</v>
      </c>
      <c r="H197" s="279">
        <v>2157</v>
      </c>
      <c r="I197" s="279">
        <v>0</v>
      </c>
      <c r="J197" s="279">
        <v>5</v>
      </c>
      <c r="K197" s="279" t="s">
        <v>481</v>
      </c>
      <c r="L197" s="279">
        <v>0</v>
      </c>
      <c r="M197" s="279" t="s">
        <v>1704</v>
      </c>
      <c r="N197" s="279" t="s">
        <v>995</v>
      </c>
      <c r="O197" s="279" t="s">
        <v>1452</v>
      </c>
      <c r="P197" s="279"/>
      <c r="Q197" s="277" t="s">
        <v>1454</v>
      </c>
      <c r="R197" s="279" t="s">
        <v>1456</v>
      </c>
      <c r="S197" s="279">
        <v>70</v>
      </c>
      <c r="T197" s="279">
        <v>10.9</v>
      </c>
      <c r="U197" s="279" t="s">
        <v>1453</v>
      </c>
      <c r="V197" s="279" t="s">
        <v>1453</v>
      </c>
      <c r="W197" s="279" t="s">
        <v>473</v>
      </c>
      <c r="X197" s="279" t="s">
        <v>484</v>
      </c>
      <c r="Y197" s="279"/>
      <c r="Z197" s="279"/>
      <c r="AA197" s="279"/>
      <c r="AB197" s="279" t="s">
        <v>26</v>
      </c>
      <c r="AC197" s="279" t="s">
        <v>490</v>
      </c>
      <c r="AD197" s="279" t="s">
        <v>491</v>
      </c>
      <c r="AE197" s="279">
        <v>84779</v>
      </c>
      <c r="AF197" s="279" t="s">
        <v>473</v>
      </c>
      <c r="AG197" s="279"/>
      <c r="AH197" s="279"/>
      <c r="AI197" s="279">
        <v>20240510</v>
      </c>
      <c r="AJ197" s="462" t="s">
        <v>1151</v>
      </c>
      <c r="AK197" s="279"/>
      <c r="AL197" s="279" t="str">
        <f>IF(AB197="Y","단종모델",LEFT(N197,3)&amp;IFERROR(VLOOKUP(LEFT(N197,3)&amp;P197,#REF!,2,0),""))</f>
        <v>SSY</v>
      </c>
      <c r="AM197" s="469" t="str">
        <f t="shared" si="246"/>
        <v>렉스턴 뉴 아레나 디젤 2.2 5인승 2WD</v>
      </c>
      <c r="AN197" s="279">
        <f t="shared" si="236"/>
        <v>40100000</v>
      </c>
      <c r="AO197" s="279">
        <f t="shared" si="237"/>
        <v>2157</v>
      </c>
      <c r="AP197" s="279" t="str">
        <f t="shared" si="238"/>
        <v>D</v>
      </c>
      <c r="AQ197" s="279">
        <f t="shared" si="239"/>
        <v>5</v>
      </c>
      <c r="AR197" s="279" t="str">
        <f t="shared" si="240"/>
        <v>RV</v>
      </c>
      <c r="AS197" s="279" t="str">
        <f t="shared" si="241"/>
        <v>승용</v>
      </c>
      <c r="AT197" s="279" t="str">
        <f t="shared" si="242"/>
        <v>7급</v>
      </c>
      <c r="AU197" s="279" t="str">
        <f t="shared" si="243"/>
        <v>12:평택</v>
      </c>
      <c r="AV197" s="279">
        <f t="shared" si="235"/>
        <v>3650</v>
      </c>
      <c r="AW197" s="279" t="str">
        <f t="shared" si="244"/>
        <v>D</v>
      </c>
      <c r="AX197" s="279" t="str">
        <f t="shared" si="245"/>
        <v>전략</v>
      </c>
      <c r="AY197" s="468">
        <v>2.8000000000000001E-2</v>
      </c>
      <c r="AZ197" s="468"/>
      <c r="BA197" s="279" t="s">
        <v>1686</v>
      </c>
      <c r="BB197" s="279" t="s">
        <v>1651</v>
      </c>
      <c r="BC197" s="279"/>
      <c r="BD197" s="279" t="s">
        <v>1474</v>
      </c>
      <c r="BE197" s="279" t="str">
        <f t="shared" si="232"/>
        <v>KG모빌리티</v>
      </c>
      <c r="BF197" s="581">
        <v>4.1000000000000002E-2</v>
      </c>
      <c r="BG197" s="281">
        <v>0</v>
      </c>
      <c r="BH197" s="281">
        <v>0</v>
      </c>
      <c r="BI197" s="279"/>
      <c r="BJ197" s="279"/>
      <c r="BK197" s="279"/>
      <c r="BL197" s="279"/>
      <c r="BM197" s="279" t="s">
        <v>1548</v>
      </c>
      <c r="BN197" s="279"/>
      <c r="BO197" s="279"/>
      <c r="BP197" s="500">
        <f t="shared" si="233"/>
        <v>6.8000000000000005E-2</v>
      </c>
      <c r="BQ197" s="973">
        <f t="shared" si="234"/>
        <v>6.1000000000000006E-2</v>
      </c>
    </row>
    <row r="198" spans="1:69" s="460" customFormat="1" ht="15" customHeight="1">
      <c r="A198" s="281">
        <v>187</v>
      </c>
      <c r="B198" s="279">
        <v>451884781</v>
      </c>
      <c r="C198" s="279" t="s">
        <v>527</v>
      </c>
      <c r="D198" s="279" t="s">
        <v>528</v>
      </c>
      <c r="E198" s="279" t="s">
        <v>482</v>
      </c>
      <c r="F198" s="279" t="s">
        <v>474</v>
      </c>
      <c r="G198" s="279">
        <v>42050000</v>
      </c>
      <c r="H198" s="279">
        <v>2157</v>
      </c>
      <c r="I198" s="279">
        <v>0</v>
      </c>
      <c r="J198" s="279">
        <v>5</v>
      </c>
      <c r="K198" s="279" t="s">
        <v>481</v>
      </c>
      <c r="L198" s="279">
        <v>0</v>
      </c>
      <c r="M198" s="279" t="s">
        <v>1704</v>
      </c>
      <c r="N198" s="279" t="s">
        <v>995</v>
      </c>
      <c r="O198" s="279" t="s">
        <v>1452</v>
      </c>
      <c r="P198" s="279"/>
      <c r="Q198" s="277" t="s">
        <v>1454</v>
      </c>
      <c r="R198" s="279" t="s">
        <v>1457</v>
      </c>
      <c r="S198" s="279">
        <v>70</v>
      </c>
      <c r="T198" s="279">
        <v>10.6</v>
      </c>
      <c r="U198" s="279" t="s">
        <v>1453</v>
      </c>
      <c r="V198" s="279" t="s">
        <v>1453</v>
      </c>
      <c r="W198" s="279" t="s">
        <v>473</v>
      </c>
      <c r="X198" s="279" t="s">
        <v>484</v>
      </c>
      <c r="Y198" s="279"/>
      <c r="Z198" s="279"/>
      <c r="AA198" s="279"/>
      <c r="AB198" s="279" t="s">
        <v>26</v>
      </c>
      <c r="AC198" s="279" t="s">
        <v>490</v>
      </c>
      <c r="AD198" s="279" t="s">
        <v>491</v>
      </c>
      <c r="AE198" s="279">
        <v>84781</v>
      </c>
      <c r="AF198" s="279" t="s">
        <v>473</v>
      </c>
      <c r="AG198" s="279"/>
      <c r="AH198" s="279"/>
      <c r="AI198" s="279">
        <v>20240510</v>
      </c>
      <c r="AJ198" s="462" t="s">
        <v>1151</v>
      </c>
      <c r="AK198" s="279"/>
      <c r="AL198" s="279" t="str">
        <f>IF(AB198="Y","단종모델",LEFT(N198,3)&amp;IFERROR(VLOOKUP(LEFT(N198,3)&amp;P198,#REF!,2,0),""))</f>
        <v>SSY</v>
      </c>
      <c r="AM198" s="469" t="str">
        <f t="shared" si="246"/>
        <v>렉스턴 뉴 아레나 디젤 2.2 5인승 4WD</v>
      </c>
      <c r="AN198" s="279">
        <f t="shared" si="236"/>
        <v>42050000</v>
      </c>
      <c r="AO198" s="279">
        <f t="shared" si="237"/>
        <v>2157</v>
      </c>
      <c r="AP198" s="279" t="str">
        <f t="shared" si="238"/>
        <v>D</v>
      </c>
      <c r="AQ198" s="279">
        <f t="shared" si="239"/>
        <v>5</v>
      </c>
      <c r="AR198" s="279" t="str">
        <f t="shared" si="240"/>
        <v>RV</v>
      </c>
      <c r="AS198" s="279" t="str">
        <f t="shared" si="241"/>
        <v>승용</v>
      </c>
      <c r="AT198" s="279" t="str">
        <f t="shared" si="242"/>
        <v>7급</v>
      </c>
      <c r="AU198" s="279" t="str">
        <f t="shared" si="243"/>
        <v>12:평택</v>
      </c>
      <c r="AV198" s="279">
        <f t="shared" si="235"/>
        <v>3650</v>
      </c>
      <c r="AW198" s="279" t="str">
        <f t="shared" si="244"/>
        <v>D</v>
      </c>
      <c r="AX198" s="279" t="str">
        <f t="shared" si="245"/>
        <v>전략</v>
      </c>
      <c r="AY198" s="468">
        <v>2.8000000000000001E-2</v>
      </c>
      <c r="AZ198" s="468"/>
      <c r="BA198" s="279" t="s">
        <v>1686</v>
      </c>
      <c r="BB198" s="279" t="s">
        <v>1651</v>
      </c>
      <c r="BC198" s="279"/>
      <c r="BD198" s="279" t="s">
        <v>1474</v>
      </c>
      <c r="BE198" s="279" t="str">
        <f t="shared" si="232"/>
        <v>KG모빌리티</v>
      </c>
      <c r="BF198" s="581">
        <v>4.1000000000000002E-2</v>
      </c>
      <c r="BG198" s="281">
        <v>0</v>
      </c>
      <c r="BH198" s="281">
        <v>0</v>
      </c>
      <c r="BI198" s="279"/>
      <c r="BJ198" s="279"/>
      <c r="BK198" s="279"/>
      <c r="BL198" s="279"/>
      <c r="BM198" s="279" t="s">
        <v>1548</v>
      </c>
      <c r="BN198" s="279"/>
      <c r="BO198" s="279"/>
      <c r="BP198" s="500">
        <f t="shared" si="233"/>
        <v>6.8000000000000005E-2</v>
      </c>
      <c r="BQ198" s="973">
        <f t="shared" si="234"/>
        <v>6.1000000000000006E-2</v>
      </c>
    </row>
    <row r="199" spans="1:69" s="460" customFormat="1" ht="15" customHeight="1">
      <c r="A199" s="281">
        <v>188</v>
      </c>
      <c r="B199" s="279">
        <v>451884786</v>
      </c>
      <c r="C199" s="279" t="s">
        <v>527</v>
      </c>
      <c r="D199" s="279" t="s">
        <v>528</v>
      </c>
      <c r="E199" s="279" t="s">
        <v>482</v>
      </c>
      <c r="F199" s="279" t="s">
        <v>474</v>
      </c>
      <c r="G199" s="279">
        <v>40520000</v>
      </c>
      <c r="H199" s="279">
        <v>2157</v>
      </c>
      <c r="I199" s="279">
        <v>0</v>
      </c>
      <c r="J199" s="279">
        <v>7</v>
      </c>
      <c r="K199" s="279" t="s">
        <v>481</v>
      </c>
      <c r="L199" s="279">
        <v>0</v>
      </c>
      <c r="M199" s="279" t="s">
        <v>1704</v>
      </c>
      <c r="N199" s="279" t="s">
        <v>995</v>
      </c>
      <c r="O199" s="279" t="s">
        <v>1452</v>
      </c>
      <c r="P199" s="279"/>
      <c r="Q199" s="277" t="s">
        <v>1455</v>
      </c>
      <c r="R199" s="279" t="s">
        <v>1456</v>
      </c>
      <c r="S199" s="279">
        <v>70</v>
      </c>
      <c r="T199" s="279">
        <v>10.9</v>
      </c>
      <c r="U199" s="279" t="s">
        <v>1453</v>
      </c>
      <c r="V199" s="279" t="s">
        <v>1453</v>
      </c>
      <c r="W199" s="279" t="s">
        <v>507</v>
      </c>
      <c r="X199" s="279" t="s">
        <v>484</v>
      </c>
      <c r="Y199" s="279"/>
      <c r="Z199" s="279"/>
      <c r="AA199" s="279"/>
      <c r="AB199" s="279" t="s">
        <v>26</v>
      </c>
      <c r="AC199" s="279" t="s">
        <v>490</v>
      </c>
      <c r="AD199" s="279" t="s">
        <v>491</v>
      </c>
      <c r="AE199" s="279">
        <v>84786</v>
      </c>
      <c r="AF199" s="279" t="s">
        <v>507</v>
      </c>
      <c r="AG199" s="279"/>
      <c r="AH199" s="279"/>
      <c r="AI199" s="279">
        <v>20240510</v>
      </c>
      <c r="AJ199" s="462" t="s">
        <v>1151</v>
      </c>
      <c r="AK199" s="279"/>
      <c r="AL199" s="279" t="str">
        <f>IF(AB199="Y","단종모델",LEFT(N199,3)&amp;IFERROR(VLOOKUP(LEFT(N199,3)&amp;P199,#REF!,2,0),""))</f>
        <v>SSY</v>
      </c>
      <c r="AM199" s="469" t="str">
        <f t="shared" si="246"/>
        <v>렉스턴 뉴 아레나 디젤 2.2 7인승 2WD</v>
      </c>
      <c r="AN199" s="279">
        <f t="shared" si="236"/>
        <v>40520000</v>
      </c>
      <c r="AO199" s="279">
        <f t="shared" si="237"/>
        <v>2157</v>
      </c>
      <c r="AP199" s="279" t="str">
        <f t="shared" si="238"/>
        <v>D</v>
      </c>
      <c r="AQ199" s="279">
        <f t="shared" si="239"/>
        <v>7</v>
      </c>
      <c r="AR199" s="279" t="str">
        <f t="shared" si="240"/>
        <v>RV</v>
      </c>
      <c r="AS199" s="279" t="str">
        <f t="shared" si="241"/>
        <v>다인승</v>
      </c>
      <c r="AT199" s="279" t="str">
        <f t="shared" si="242"/>
        <v>7급</v>
      </c>
      <c r="AU199" s="279" t="str">
        <f t="shared" si="243"/>
        <v>12:평택</v>
      </c>
      <c r="AV199" s="279">
        <f t="shared" si="235"/>
        <v>4300</v>
      </c>
      <c r="AW199" s="279" t="str">
        <f t="shared" si="244"/>
        <v>D</v>
      </c>
      <c r="AX199" s="279" t="str">
        <f t="shared" si="245"/>
        <v>전략</v>
      </c>
      <c r="AY199" s="468">
        <v>2.8000000000000001E-2</v>
      </c>
      <c r="AZ199" s="468"/>
      <c r="BA199" s="279" t="s">
        <v>1686</v>
      </c>
      <c r="BB199" s="279" t="s">
        <v>1651</v>
      </c>
      <c r="BC199" s="279"/>
      <c r="BD199" s="279" t="s">
        <v>1474</v>
      </c>
      <c r="BE199" s="279" t="str">
        <f t="shared" si="232"/>
        <v>KG모빌리티</v>
      </c>
      <c r="BF199" s="581">
        <v>4.1000000000000002E-2</v>
      </c>
      <c r="BG199" s="281">
        <v>0</v>
      </c>
      <c r="BH199" s="281">
        <v>0</v>
      </c>
      <c r="BI199" s="279"/>
      <c r="BJ199" s="279"/>
      <c r="BK199" s="279"/>
      <c r="BL199" s="279"/>
      <c r="BM199" s="279" t="s">
        <v>1548</v>
      </c>
      <c r="BN199" s="279"/>
      <c r="BO199" s="279"/>
      <c r="BP199" s="500">
        <f t="shared" si="233"/>
        <v>6.8000000000000005E-2</v>
      </c>
      <c r="BQ199" s="973">
        <f t="shared" si="234"/>
        <v>6.1000000000000006E-2</v>
      </c>
    </row>
    <row r="200" spans="1:69" s="460" customFormat="1" ht="15" customHeight="1">
      <c r="A200" s="281">
        <v>189</v>
      </c>
      <c r="B200" s="279">
        <v>451884788</v>
      </c>
      <c r="C200" s="279" t="s">
        <v>527</v>
      </c>
      <c r="D200" s="279" t="s">
        <v>528</v>
      </c>
      <c r="E200" s="279" t="s">
        <v>482</v>
      </c>
      <c r="F200" s="279" t="s">
        <v>474</v>
      </c>
      <c r="G200" s="279">
        <v>42470000</v>
      </c>
      <c r="H200" s="279">
        <v>2157</v>
      </c>
      <c r="I200" s="279">
        <v>0</v>
      </c>
      <c r="J200" s="279">
        <v>7</v>
      </c>
      <c r="K200" s="279" t="s">
        <v>481</v>
      </c>
      <c r="L200" s="279">
        <v>0</v>
      </c>
      <c r="M200" s="279" t="s">
        <v>1704</v>
      </c>
      <c r="N200" s="279" t="s">
        <v>995</v>
      </c>
      <c r="O200" s="279" t="s">
        <v>1452</v>
      </c>
      <c r="P200" s="279"/>
      <c r="Q200" s="277" t="s">
        <v>1455</v>
      </c>
      <c r="R200" s="279" t="s">
        <v>1457</v>
      </c>
      <c r="S200" s="279">
        <v>70</v>
      </c>
      <c r="T200" s="279">
        <v>10.6</v>
      </c>
      <c r="U200" s="279" t="s">
        <v>1453</v>
      </c>
      <c r="V200" s="279" t="s">
        <v>1453</v>
      </c>
      <c r="W200" s="279" t="s">
        <v>507</v>
      </c>
      <c r="X200" s="279" t="s">
        <v>484</v>
      </c>
      <c r="Y200" s="279"/>
      <c r="Z200" s="279"/>
      <c r="AA200" s="279"/>
      <c r="AB200" s="279" t="s">
        <v>26</v>
      </c>
      <c r="AC200" s="279" t="s">
        <v>490</v>
      </c>
      <c r="AD200" s="279" t="s">
        <v>491</v>
      </c>
      <c r="AE200" s="279">
        <v>84788</v>
      </c>
      <c r="AF200" s="279" t="s">
        <v>507</v>
      </c>
      <c r="AG200" s="279"/>
      <c r="AH200" s="279"/>
      <c r="AI200" s="279">
        <v>20240510</v>
      </c>
      <c r="AJ200" s="462" t="s">
        <v>1151</v>
      </c>
      <c r="AK200" s="279"/>
      <c r="AL200" s="279" t="str">
        <f>IF(AB200="Y","단종모델",LEFT(N200,3)&amp;IFERROR(VLOOKUP(LEFT(N200,3)&amp;P200,#REF!,2,0),""))</f>
        <v>SSY</v>
      </c>
      <c r="AM200" s="469" t="str">
        <f t="shared" si="246"/>
        <v>렉스턴 뉴 아레나 디젤 2.2 7인승 4WD</v>
      </c>
      <c r="AN200" s="279">
        <f t="shared" si="236"/>
        <v>42470000</v>
      </c>
      <c r="AO200" s="279">
        <f t="shared" si="237"/>
        <v>2157</v>
      </c>
      <c r="AP200" s="279" t="str">
        <f t="shared" si="238"/>
        <v>D</v>
      </c>
      <c r="AQ200" s="279">
        <f t="shared" si="239"/>
        <v>7</v>
      </c>
      <c r="AR200" s="279" t="str">
        <f t="shared" si="240"/>
        <v>RV</v>
      </c>
      <c r="AS200" s="279" t="str">
        <f t="shared" si="241"/>
        <v>다인승</v>
      </c>
      <c r="AT200" s="279" t="str">
        <f t="shared" si="242"/>
        <v>7급</v>
      </c>
      <c r="AU200" s="279" t="str">
        <f t="shared" si="243"/>
        <v>12:평택</v>
      </c>
      <c r="AV200" s="279">
        <f t="shared" si="235"/>
        <v>4300</v>
      </c>
      <c r="AW200" s="279" t="str">
        <f t="shared" si="244"/>
        <v>D</v>
      </c>
      <c r="AX200" s="279" t="str">
        <f t="shared" si="245"/>
        <v>전략</v>
      </c>
      <c r="AY200" s="468">
        <v>2.8000000000000001E-2</v>
      </c>
      <c r="AZ200" s="468"/>
      <c r="BA200" s="279" t="s">
        <v>1686</v>
      </c>
      <c r="BB200" s="279" t="s">
        <v>1651</v>
      </c>
      <c r="BC200" s="279"/>
      <c r="BD200" s="279" t="s">
        <v>1474</v>
      </c>
      <c r="BE200" s="279" t="str">
        <f t="shared" si="232"/>
        <v>KG모빌리티</v>
      </c>
      <c r="BF200" s="581">
        <v>4.1000000000000002E-2</v>
      </c>
      <c r="BG200" s="281">
        <v>0</v>
      </c>
      <c r="BH200" s="281">
        <v>0</v>
      </c>
      <c r="BI200" s="279"/>
      <c r="BJ200" s="279"/>
      <c r="BK200" s="279"/>
      <c r="BL200" s="279"/>
      <c r="BM200" s="279" t="s">
        <v>1548</v>
      </c>
      <c r="BN200" s="279"/>
      <c r="BO200" s="279"/>
      <c r="BP200" s="500">
        <f t="shared" si="233"/>
        <v>6.8000000000000005E-2</v>
      </c>
      <c r="BQ200" s="973">
        <f t="shared" si="234"/>
        <v>6.1000000000000006E-2</v>
      </c>
    </row>
    <row r="201" spans="1:69" s="460" customFormat="1" ht="15" customHeight="1">
      <c r="A201" s="281">
        <v>190</v>
      </c>
      <c r="B201" s="279">
        <v>464687873</v>
      </c>
      <c r="C201" s="279" t="s">
        <v>527</v>
      </c>
      <c r="D201" s="279" t="s">
        <v>528</v>
      </c>
      <c r="E201" s="279" t="s">
        <v>482</v>
      </c>
      <c r="F201" s="279" t="s">
        <v>474</v>
      </c>
      <c r="G201" s="279">
        <v>28380000</v>
      </c>
      <c r="H201" s="279">
        <v>1497</v>
      </c>
      <c r="I201" s="279">
        <v>0</v>
      </c>
      <c r="J201" s="279">
        <v>5</v>
      </c>
      <c r="K201" s="279" t="s">
        <v>475</v>
      </c>
      <c r="L201" s="279">
        <v>0</v>
      </c>
      <c r="M201" s="279" t="s">
        <v>1704</v>
      </c>
      <c r="N201" s="279" t="s">
        <v>995</v>
      </c>
      <c r="O201" s="279" t="s">
        <v>1507</v>
      </c>
      <c r="P201" s="279" t="s">
        <v>1505</v>
      </c>
      <c r="Q201" s="279" t="s">
        <v>1042</v>
      </c>
      <c r="R201" s="279"/>
      <c r="S201" s="279">
        <v>50</v>
      </c>
      <c r="T201" s="279">
        <v>11.2</v>
      </c>
      <c r="U201" s="279" t="s">
        <v>512</v>
      </c>
      <c r="V201" s="279" t="s">
        <v>512</v>
      </c>
      <c r="W201" s="279" t="s">
        <v>473</v>
      </c>
      <c r="X201" s="279" t="s">
        <v>478</v>
      </c>
      <c r="Y201" s="279"/>
      <c r="Z201" s="279"/>
      <c r="AA201" s="279"/>
      <c r="AB201" s="279" t="s">
        <v>26</v>
      </c>
      <c r="AC201" s="279" t="s">
        <v>490</v>
      </c>
      <c r="AD201" s="279" t="s">
        <v>491</v>
      </c>
      <c r="AE201" s="279">
        <v>87873</v>
      </c>
      <c r="AF201" s="279" t="s">
        <v>473</v>
      </c>
      <c r="AG201" s="279"/>
      <c r="AH201" s="279"/>
      <c r="AI201" s="279">
        <v>20240607</v>
      </c>
      <c r="AJ201" s="462" t="s">
        <v>1151</v>
      </c>
      <c r="AK201" s="279"/>
      <c r="AL201" s="279" t="str">
        <f>IF(AB201="Y","단종모델",LEFT(N201,3)&amp;IFERROR(VLOOKUP(LEFT(N201,3)&amp;P201,#REF!,2,0),""))</f>
        <v>SSY</v>
      </c>
      <c r="AM201" s="469" t="str">
        <f t="shared" si="246"/>
        <v xml:space="preserve">토레스 가솔린 터보 1.5 </v>
      </c>
      <c r="AN201" s="279">
        <f t="shared" si="236"/>
        <v>28380000</v>
      </c>
      <c r="AO201" s="279">
        <f t="shared" si="237"/>
        <v>1497</v>
      </c>
      <c r="AP201" s="279" t="str">
        <f t="shared" si="238"/>
        <v>M</v>
      </c>
      <c r="AQ201" s="279">
        <f t="shared" si="239"/>
        <v>5</v>
      </c>
      <c r="AR201" s="279" t="str">
        <f t="shared" si="240"/>
        <v>RV</v>
      </c>
      <c r="AS201" s="279" t="str">
        <f t="shared" si="241"/>
        <v>승용</v>
      </c>
      <c r="AT201" s="279" t="str">
        <f t="shared" si="242"/>
        <v>7급</v>
      </c>
      <c r="AU201" s="279" t="str">
        <f t="shared" si="243"/>
        <v>12:평택</v>
      </c>
      <c r="AV201" s="279">
        <f t="shared" si="235"/>
        <v>3650</v>
      </c>
      <c r="AW201" s="279" t="str">
        <f t="shared" si="244"/>
        <v>D</v>
      </c>
      <c r="AX201" s="279" t="str">
        <f t="shared" si="245"/>
        <v>전략</v>
      </c>
      <c r="AY201" s="468">
        <v>2.8000000000000001E-2</v>
      </c>
      <c r="AZ201" s="468"/>
      <c r="BA201" s="279" t="s">
        <v>1654</v>
      </c>
      <c r="BB201" s="279" t="s">
        <v>1654</v>
      </c>
      <c r="BC201" s="279"/>
      <c r="BD201" s="279" t="s">
        <v>1474</v>
      </c>
      <c r="BE201" s="279" t="str">
        <f t="shared" si="232"/>
        <v>KG모빌리티</v>
      </c>
      <c r="BF201" s="581">
        <v>4.1000000000000002E-2</v>
      </c>
      <c r="BG201" s="281">
        <v>0</v>
      </c>
      <c r="BH201" s="281">
        <v>0</v>
      </c>
      <c r="BI201" s="279"/>
      <c r="BJ201" s="279"/>
      <c r="BK201" s="279"/>
      <c r="BL201" s="279"/>
      <c r="BM201" s="279" t="s">
        <v>1548</v>
      </c>
      <c r="BN201" s="279"/>
      <c r="BO201" s="279"/>
      <c r="BP201" s="500">
        <f t="shared" si="233"/>
        <v>6.8000000000000005E-2</v>
      </c>
      <c r="BQ201" s="973">
        <f t="shared" si="234"/>
        <v>6.1000000000000006E-2</v>
      </c>
    </row>
    <row r="202" spans="1:69" s="460" customFormat="1" ht="15" customHeight="1">
      <c r="A202" s="281">
        <v>191</v>
      </c>
      <c r="B202" s="279">
        <v>465388062</v>
      </c>
      <c r="C202" s="279" t="s">
        <v>472</v>
      </c>
      <c r="D202" s="279" t="s">
        <v>473</v>
      </c>
      <c r="E202" s="279" t="s">
        <v>482</v>
      </c>
      <c r="F202" s="279" t="s">
        <v>474</v>
      </c>
      <c r="G202" s="279">
        <v>31493670</v>
      </c>
      <c r="H202" s="279">
        <v>0</v>
      </c>
      <c r="I202" s="279">
        <v>0</v>
      </c>
      <c r="J202" s="279">
        <v>4</v>
      </c>
      <c r="K202" s="279" t="s">
        <v>560</v>
      </c>
      <c r="L202" s="279">
        <v>0</v>
      </c>
      <c r="M202" s="279" t="s">
        <v>95</v>
      </c>
      <c r="N202" s="279" t="s">
        <v>476</v>
      </c>
      <c r="O202" s="279" t="s">
        <v>1713</v>
      </c>
      <c r="P202" s="279" t="s">
        <v>1716</v>
      </c>
      <c r="Q202" s="279" t="s">
        <v>1714</v>
      </c>
      <c r="R202" s="279"/>
      <c r="S202" s="279">
        <v>0</v>
      </c>
      <c r="T202" s="279">
        <v>5.6</v>
      </c>
      <c r="U202" s="279" t="s">
        <v>539</v>
      </c>
      <c r="V202" s="279" t="s">
        <v>539</v>
      </c>
      <c r="W202" s="279" t="s">
        <v>473</v>
      </c>
      <c r="X202" s="279" t="s">
        <v>519</v>
      </c>
      <c r="Y202" s="279"/>
      <c r="Z202" s="279"/>
      <c r="AA202" s="279"/>
      <c r="AB202" s="279" t="s">
        <v>1715</v>
      </c>
      <c r="AC202" s="279" t="s">
        <v>490</v>
      </c>
      <c r="AD202" s="279" t="s">
        <v>491</v>
      </c>
      <c r="AE202" s="279">
        <v>88062</v>
      </c>
      <c r="AF202" s="279" t="s">
        <v>473</v>
      </c>
      <c r="AG202" s="279"/>
      <c r="AH202" s="279"/>
      <c r="AI202" s="279">
        <v>20240718</v>
      </c>
      <c r="AJ202" s="462" t="s">
        <v>1714</v>
      </c>
      <c r="AK202" s="279"/>
      <c r="AL202" s="279" t="str">
        <f>IF(AB202="Y","단종모델",LEFT(N202,3)&amp;IFERROR(VLOOKUP(LEFT(N202,3)&amp;P202,#REF!,2,0),""))</f>
        <v>HDM</v>
      </c>
      <c r="AM202" s="469" t="str">
        <f t="shared" si="246"/>
        <v xml:space="preserve">캐스퍼 일렉트릭 전기 </v>
      </c>
      <c r="AN202" s="279">
        <f t="shared" si="236"/>
        <v>31493670</v>
      </c>
      <c r="AO202" s="279">
        <f t="shared" ref="AO202" si="292">H202</f>
        <v>0</v>
      </c>
      <c r="AP202" s="279" t="str">
        <f t="shared" ref="AP202" si="293">LEFT(K202,1)</f>
        <v>E</v>
      </c>
      <c r="AQ202" s="279">
        <f t="shared" ref="AQ202" si="294">J202</f>
        <v>4</v>
      </c>
      <c r="AR202" s="279" t="str">
        <f t="shared" ref="AR202" si="295">RIGHT(D202,2)</f>
        <v>승용</v>
      </c>
      <c r="AS202" s="279" t="str">
        <f t="shared" ref="AS202" si="296">MID(W202,4,3)</f>
        <v>승용</v>
      </c>
      <c r="AT202" s="279" t="str">
        <f t="shared" ref="AT202" si="297">RIGHT(AC202,2)</f>
        <v>7급</v>
      </c>
      <c r="AU202" s="279" t="str">
        <f t="shared" ref="AU202" si="298">AB202</f>
        <v>07:광주</v>
      </c>
      <c r="AV202" s="279">
        <f t="shared" ref="AV202" si="299">IF(AND(BE202="기아",AQ202&lt;7),1900,IF(AND(BE202="기아",AQ202&gt;6,AQ202&lt;11),2500,IF(AND(BE202="기아",AQ202&gt;10),3500,IF(AND(BE202="KG모빌리티",AQ202&lt;7),3650,IF(AND(BE202="KG모빌리티",AQ202&gt;6),4300,0)))))</f>
        <v>0</v>
      </c>
      <c r="AW202" s="279" t="str">
        <f t="shared" ref="AW202" si="300">LEFT(F202,1)</f>
        <v>D</v>
      </c>
      <c r="AX202" s="279" t="str">
        <f t="shared" si="245"/>
        <v>전기</v>
      </c>
      <c r="AY202" s="468">
        <v>0.02</v>
      </c>
      <c r="AZ202" s="468"/>
      <c r="BA202" s="279" t="s">
        <v>1730</v>
      </c>
      <c r="BB202" s="279" t="s">
        <v>1728</v>
      </c>
      <c r="BC202" s="279"/>
      <c r="BD202" s="279" t="s">
        <v>1476</v>
      </c>
      <c r="BE202" s="279" t="str">
        <f t="shared" si="232"/>
        <v>현대</v>
      </c>
      <c r="BF202" s="581">
        <v>4.1000000000000002E-2</v>
      </c>
      <c r="BG202" s="281">
        <v>116000</v>
      </c>
      <c r="BH202" s="281">
        <v>116000</v>
      </c>
      <c r="BI202" s="279"/>
      <c r="BJ202" s="279"/>
      <c r="BK202" s="279"/>
      <c r="BL202" s="279"/>
      <c r="BM202" s="279" t="s">
        <v>1547</v>
      </c>
      <c r="BN202" s="279"/>
      <c r="BO202" s="279"/>
      <c r="BP202" s="500">
        <f t="shared" si="233"/>
        <v>6.5000000000000002E-2</v>
      </c>
      <c r="BQ202" s="973">
        <f t="shared" ref="BQ202:BQ203" si="301">BP202-0.007</f>
        <v>5.8000000000000003E-2</v>
      </c>
    </row>
    <row r="203" spans="1:69" s="460" customFormat="1" ht="15" customHeight="1">
      <c r="A203" s="281">
        <v>192</v>
      </c>
      <c r="B203" s="279">
        <v>344569356</v>
      </c>
      <c r="C203" s="279" t="s">
        <v>472</v>
      </c>
      <c r="D203" s="279" t="s">
        <v>528</v>
      </c>
      <c r="E203" s="279" t="s">
        <v>482</v>
      </c>
      <c r="F203" s="279" t="s">
        <v>474</v>
      </c>
      <c r="G203" s="279">
        <v>45610000</v>
      </c>
      <c r="H203" s="279">
        <v>0</v>
      </c>
      <c r="I203" s="279">
        <v>0</v>
      </c>
      <c r="J203" s="279">
        <v>5</v>
      </c>
      <c r="K203" s="279" t="s">
        <v>560</v>
      </c>
      <c r="L203" s="279">
        <v>0</v>
      </c>
      <c r="M203" s="279" t="s">
        <v>95</v>
      </c>
      <c r="N203" s="279" t="s">
        <v>476</v>
      </c>
      <c r="O203" s="279" t="s">
        <v>105</v>
      </c>
      <c r="P203" s="279" t="s">
        <v>108</v>
      </c>
      <c r="Q203" s="279" t="s">
        <v>823</v>
      </c>
      <c r="R203" s="279"/>
      <c r="S203" s="279">
        <v>0</v>
      </c>
      <c r="T203" s="279">
        <v>5.8</v>
      </c>
      <c r="U203" s="279" t="s">
        <v>502</v>
      </c>
      <c r="V203" s="279" t="s">
        <v>502</v>
      </c>
      <c r="W203" s="279" t="s">
        <v>473</v>
      </c>
      <c r="X203" s="279" t="s">
        <v>519</v>
      </c>
      <c r="Y203" s="279"/>
      <c r="Z203" s="279"/>
      <c r="AA203" s="279"/>
      <c r="AB203" s="279" t="s">
        <v>479</v>
      </c>
      <c r="AC203" s="279" t="s">
        <v>490</v>
      </c>
      <c r="AD203" s="279" t="s">
        <v>534</v>
      </c>
      <c r="AE203" s="279">
        <v>69356</v>
      </c>
      <c r="AF203" s="279" t="s">
        <v>473</v>
      </c>
      <c r="AG203" s="279"/>
      <c r="AH203" s="279"/>
      <c r="AI203" s="279">
        <v>20230509</v>
      </c>
      <c r="AJ203" s="462" t="s">
        <v>823</v>
      </c>
      <c r="AK203" s="279"/>
      <c r="AL203" s="279" t="str">
        <f>IF(AB203="Y","단종모델",LEFT(N203,3)&amp;IFERROR(VLOOKUP(LEFT(N203,3)&amp;P203,#REF!,2,0),""))</f>
        <v>HDM</v>
      </c>
      <c r="AM203" s="469" t="str">
        <f t="shared" si="246"/>
        <v xml:space="preserve">코나 전기 </v>
      </c>
      <c r="AN203" s="279">
        <f t="shared" si="236"/>
        <v>45610000</v>
      </c>
      <c r="AO203" s="279">
        <f t="shared" si="237"/>
        <v>0</v>
      </c>
      <c r="AP203" s="279" t="str">
        <f t="shared" si="238"/>
        <v>E</v>
      </c>
      <c r="AQ203" s="279">
        <f t="shared" si="239"/>
        <v>5</v>
      </c>
      <c r="AR203" s="279" t="str">
        <f t="shared" si="240"/>
        <v>RV</v>
      </c>
      <c r="AS203" s="279" t="str">
        <f t="shared" si="241"/>
        <v>승용</v>
      </c>
      <c r="AT203" s="279" t="str">
        <f t="shared" si="242"/>
        <v>7급</v>
      </c>
      <c r="AU203" s="279" t="str">
        <f t="shared" si="243"/>
        <v>02:울산</v>
      </c>
      <c r="AV203" s="279">
        <f t="shared" si="235"/>
        <v>0</v>
      </c>
      <c r="AW203" s="279" t="str">
        <f t="shared" si="244"/>
        <v>D</v>
      </c>
      <c r="AX203" s="279" t="str">
        <f t="shared" si="245"/>
        <v>전기</v>
      </c>
      <c r="AY203" s="468">
        <v>0.03</v>
      </c>
      <c r="AZ203" s="468"/>
      <c r="BA203" s="279" t="s">
        <v>1696</v>
      </c>
      <c r="BB203" s="279" t="s">
        <v>822</v>
      </c>
      <c r="BC203" s="279"/>
      <c r="BD203" s="279" t="s">
        <v>1476</v>
      </c>
      <c r="BE203" s="279" t="str">
        <f t="shared" si="232"/>
        <v>현대</v>
      </c>
      <c r="BF203" s="581">
        <v>4.1000000000000002E-2</v>
      </c>
      <c r="BG203" s="281">
        <v>78000</v>
      </c>
      <c r="BH203" s="281">
        <v>301000</v>
      </c>
      <c r="BI203" s="279"/>
      <c r="BJ203" s="279"/>
      <c r="BK203" s="279"/>
      <c r="BL203" s="279"/>
      <c r="BM203" s="279" t="s">
        <v>1547</v>
      </c>
      <c r="BN203" s="279"/>
      <c r="BO203" s="279"/>
      <c r="BP203" s="500">
        <f t="shared" si="233"/>
        <v>6.5000000000000002E-2</v>
      </c>
      <c r="BQ203" s="973">
        <f t="shared" si="301"/>
        <v>5.8000000000000003E-2</v>
      </c>
    </row>
    <row r="204" spans="1:69" s="460" customFormat="1" ht="15" customHeight="1">
      <c r="A204" s="281">
        <v>193</v>
      </c>
      <c r="B204" s="279">
        <v>462487551</v>
      </c>
      <c r="C204" s="279" t="s">
        <v>472</v>
      </c>
      <c r="D204" s="279" t="s">
        <v>528</v>
      </c>
      <c r="E204" s="279" t="s">
        <v>482</v>
      </c>
      <c r="F204" s="279" t="s">
        <v>474</v>
      </c>
      <c r="G204" s="279">
        <v>56980000</v>
      </c>
      <c r="H204" s="279">
        <v>0</v>
      </c>
      <c r="I204" s="279">
        <v>0</v>
      </c>
      <c r="J204" s="279">
        <v>5</v>
      </c>
      <c r="K204" s="279" t="s">
        <v>560</v>
      </c>
      <c r="L204" s="279">
        <v>0</v>
      </c>
      <c r="M204" s="279" t="s">
        <v>95</v>
      </c>
      <c r="N204" s="279" t="s">
        <v>476</v>
      </c>
      <c r="O204" s="279" t="s">
        <v>1499</v>
      </c>
      <c r="P204" s="279" t="s">
        <v>106</v>
      </c>
      <c r="Q204" s="279" t="s">
        <v>1482</v>
      </c>
      <c r="R204" s="279" t="s">
        <v>1430</v>
      </c>
      <c r="S204" s="279">
        <v>0</v>
      </c>
      <c r="T204" s="279">
        <v>5.2</v>
      </c>
      <c r="U204" s="279" t="s">
        <v>504</v>
      </c>
      <c r="V204" s="279" t="s">
        <v>504</v>
      </c>
      <c r="W204" s="279" t="s">
        <v>473</v>
      </c>
      <c r="X204" s="279" t="s">
        <v>519</v>
      </c>
      <c r="Y204" s="279"/>
      <c r="Z204" s="279"/>
      <c r="AA204" s="279"/>
      <c r="AB204" s="279" t="s">
        <v>479</v>
      </c>
      <c r="AC204" s="279" t="s">
        <v>490</v>
      </c>
      <c r="AD204" s="279" t="s">
        <v>491</v>
      </c>
      <c r="AE204" s="279">
        <v>87551</v>
      </c>
      <c r="AF204" s="279" t="s">
        <v>473</v>
      </c>
      <c r="AG204" s="279"/>
      <c r="AH204" s="279"/>
      <c r="AI204" s="279">
        <v>20240607</v>
      </c>
      <c r="AJ204" s="462" t="s">
        <v>1155</v>
      </c>
      <c r="AK204" s="279"/>
      <c r="AL204" s="279" t="str">
        <f>IF(AB204="Y","단종모델",LEFT(N204,3)&amp;IFERROR(VLOOKUP(LEFT(N204,3)&amp;P204,#REF!,2,0),""))</f>
        <v>HDM</v>
      </c>
      <c r="AM204" s="469" t="str">
        <f t="shared" si="246"/>
        <v>더 뉴 아이오닉 5 전기 롱레인지 2WD</v>
      </c>
      <c r="AN204" s="279">
        <f t="shared" si="236"/>
        <v>56980000</v>
      </c>
      <c r="AO204" s="279">
        <f t="shared" si="237"/>
        <v>0</v>
      </c>
      <c r="AP204" s="279" t="str">
        <f t="shared" si="238"/>
        <v>E</v>
      </c>
      <c r="AQ204" s="279">
        <f t="shared" si="239"/>
        <v>5</v>
      </c>
      <c r="AR204" s="279" t="str">
        <f t="shared" si="240"/>
        <v>RV</v>
      </c>
      <c r="AS204" s="279" t="str">
        <f t="shared" si="241"/>
        <v>승용</v>
      </c>
      <c r="AT204" s="279" t="str">
        <f t="shared" si="242"/>
        <v>7급</v>
      </c>
      <c r="AU204" s="279" t="str">
        <f t="shared" si="243"/>
        <v>02:울산</v>
      </c>
      <c r="AV204" s="279">
        <f t="shared" si="235"/>
        <v>0</v>
      </c>
      <c r="AW204" s="279" t="str">
        <f t="shared" si="244"/>
        <v>D</v>
      </c>
      <c r="AX204" s="279" t="str">
        <f t="shared" si="245"/>
        <v>전기</v>
      </c>
      <c r="AY204" s="468">
        <v>0.03</v>
      </c>
      <c r="AZ204" s="468"/>
      <c r="BA204" s="279" t="s">
        <v>1696</v>
      </c>
      <c r="BB204" s="279" t="s">
        <v>822</v>
      </c>
      <c r="BC204" s="279"/>
      <c r="BD204" s="279" t="s">
        <v>1476</v>
      </c>
      <c r="BE204" s="279" t="str">
        <f t="shared" si="232"/>
        <v>현대</v>
      </c>
      <c r="BF204" s="581">
        <v>4.1000000000000002E-2</v>
      </c>
      <c r="BG204" s="281">
        <v>81000</v>
      </c>
      <c r="BH204" s="281">
        <v>381000</v>
      </c>
      <c r="BI204" s="279"/>
      <c r="BJ204" s="279"/>
      <c r="BK204" s="279"/>
      <c r="BL204" s="279"/>
      <c r="BM204" s="279" t="s">
        <v>1547</v>
      </c>
      <c r="BN204" s="279"/>
      <c r="BO204" s="279"/>
      <c r="BP204" s="500">
        <f t="shared" si="233"/>
        <v>6.5000000000000002E-2</v>
      </c>
      <c r="BQ204" s="973">
        <f t="shared" si="234"/>
        <v>5.8000000000000003E-2</v>
      </c>
    </row>
    <row r="205" spans="1:69" s="460" customFormat="1" ht="15" customHeight="1">
      <c r="A205" s="281">
        <v>194</v>
      </c>
      <c r="B205" s="279">
        <v>462487552</v>
      </c>
      <c r="C205" s="279" t="s">
        <v>472</v>
      </c>
      <c r="D205" s="279" t="s">
        <v>528</v>
      </c>
      <c r="E205" s="279" t="s">
        <v>482</v>
      </c>
      <c r="F205" s="279" t="s">
        <v>474</v>
      </c>
      <c r="G205" s="279">
        <v>59450000</v>
      </c>
      <c r="H205" s="279">
        <v>0</v>
      </c>
      <c r="I205" s="279">
        <v>0</v>
      </c>
      <c r="J205" s="279">
        <v>5</v>
      </c>
      <c r="K205" s="279" t="s">
        <v>560</v>
      </c>
      <c r="L205" s="279">
        <v>0</v>
      </c>
      <c r="M205" s="279" t="s">
        <v>95</v>
      </c>
      <c r="N205" s="279" t="s">
        <v>476</v>
      </c>
      <c r="O205" s="279" t="s">
        <v>1499</v>
      </c>
      <c r="P205" s="279" t="s">
        <v>106</v>
      </c>
      <c r="Q205" s="279" t="s">
        <v>1482</v>
      </c>
      <c r="R205" s="279" t="s">
        <v>1491</v>
      </c>
      <c r="S205" s="279">
        <v>0</v>
      </c>
      <c r="T205" s="279">
        <v>4.8</v>
      </c>
      <c r="U205" s="279" t="s">
        <v>504</v>
      </c>
      <c r="V205" s="279" t="s">
        <v>504</v>
      </c>
      <c r="W205" s="279" t="s">
        <v>473</v>
      </c>
      <c r="X205" s="279" t="s">
        <v>519</v>
      </c>
      <c r="Y205" s="279"/>
      <c r="Z205" s="279"/>
      <c r="AA205" s="279"/>
      <c r="AB205" s="279" t="s">
        <v>479</v>
      </c>
      <c r="AC205" s="279" t="s">
        <v>490</v>
      </c>
      <c r="AD205" s="279" t="s">
        <v>491</v>
      </c>
      <c r="AE205" s="279">
        <v>87552</v>
      </c>
      <c r="AF205" s="279" t="s">
        <v>473</v>
      </c>
      <c r="AG205" s="279"/>
      <c r="AH205" s="279"/>
      <c r="AI205" s="279">
        <v>20240607</v>
      </c>
      <c r="AJ205" s="462" t="s">
        <v>823</v>
      </c>
      <c r="AK205" s="279"/>
      <c r="AL205" s="279" t="str">
        <f>IF(AB205="Y","단종모델",LEFT(N205,3)&amp;IFERROR(VLOOKUP(LEFT(N205,3)&amp;P205,#REF!,2,0),""))</f>
        <v>HDM</v>
      </c>
      <c r="AM205" s="469" t="str">
        <f t="shared" si="246"/>
        <v>더 뉴 아이오닉 5 전기 롱레인지 4WD</v>
      </c>
      <c r="AN205" s="279">
        <f t="shared" si="236"/>
        <v>59450000</v>
      </c>
      <c r="AO205" s="279">
        <f t="shared" ref="AO205" si="302">H205</f>
        <v>0</v>
      </c>
      <c r="AP205" s="279" t="str">
        <f t="shared" ref="AP205" si="303">LEFT(K205,1)</f>
        <v>E</v>
      </c>
      <c r="AQ205" s="279">
        <f t="shared" ref="AQ205" si="304">J205</f>
        <v>5</v>
      </c>
      <c r="AR205" s="279" t="str">
        <f t="shared" ref="AR205" si="305">RIGHT(D205,2)</f>
        <v>RV</v>
      </c>
      <c r="AS205" s="279" t="str">
        <f t="shared" ref="AS205" si="306">MID(W205,4,3)</f>
        <v>승용</v>
      </c>
      <c r="AT205" s="279" t="str">
        <f t="shared" ref="AT205" si="307">RIGHT(AC205,2)</f>
        <v>7급</v>
      </c>
      <c r="AU205" s="279" t="str">
        <f t="shared" ref="AU205" si="308">AB205</f>
        <v>02:울산</v>
      </c>
      <c r="AV205" s="279">
        <f t="shared" si="235"/>
        <v>0</v>
      </c>
      <c r="AW205" s="279" t="str">
        <f t="shared" ref="AW205" si="309">LEFT(F205,1)</f>
        <v>D</v>
      </c>
      <c r="AX205" s="279" t="str">
        <f t="shared" ref="AX205" si="310">AJ205</f>
        <v>전기</v>
      </c>
      <c r="AY205" s="468">
        <v>0.03</v>
      </c>
      <c r="AZ205" s="468"/>
      <c r="BA205" s="279" t="s">
        <v>1696</v>
      </c>
      <c r="BB205" s="279" t="s">
        <v>822</v>
      </c>
      <c r="BC205" s="279"/>
      <c r="BD205" s="279" t="s">
        <v>1476</v>
      </c>
      <c r="BE205" s="279" t="str">
        <f t="shared" si="232"/>
        <v>현대</v>
      </c>
      <c r="BF205" s="581">
        <v>4.1000000000000002E-2</v>
      </c>
      <c r="BG205" s="281">
        <v>81000</v>
      </c>
      <c r="BH205" s="281">
        <v>381000</v>
      </c>
      <c r="BI205" s="279"/>
      <c r="BJ205" s="279"/>
      <c r="BK205" s="279"/>
      <c r="BL205" s="279"/>
      <c r="BM205" s="279" t="s">
        <v>1547</v>
      </c>
      <c r="BN205" s="279"/>
      <c r="BO205" s="279"/>
      <c r="BP205" s="500">
        <f t="shared" si="233"/>
        <v>6.5000000000000002E-2</v>
      </c>
      <c r="BQ205" s="973">
        <f t="shared" si="234"/>
        <v>5.8000000000000003E-2</v>
      </c>
    </row>
    <row r="206" spans="1:69" s="460" customFormat="1" ht="15" customHeight="1">
      <c r="A206" s="281">
        <v>195</v>
      </c>
      <c r="B206" s="279">
        <v>408780242</v>
      </c>
      <c r="C206" s="279" t="s">
        <v>472</v>
      </c>
      <c r="D206" s="279" t="s">
        <v>473</v>
      </c>
      <c r="E206" s="279" t="s">
        <v>482</v>
      </c>
      <c r="F206" s="279" t="s">
        <v>474</v>
      </c>
      <c r="G206" s="279">
        <v>59693249</v>
      </c>
      <c r="H206" s="279">
        <v>0</v>
      </c>
      <c r="I206" s="279">
        <v>0</v>
      </c>
      <c r="J206" s="279">
        <v>5</v>
      </c>
      <c r="K206" s="279" t="s">
        <v>560</v>
      </c>
      <c r="L206" s="279">
        <v>0</v>
      </c>
      <c r="M206" s="279" t="s">
        <v>95</v>
      </c>
      <c r="N206" s="279" t="s">
        <v>476</v>
      </c>
      <c r="O206" s="279" t="s">
        <v>1011</v>
      </c>
      <c r="P206" s="279" t="s">
        <v>106</v>
      </c>
      <c r="Q206" s="279" t="s">
        <v>883</v>
      </c>
      <c r="R206" s="279"/>
      <c r="S206" s="279">
        <v>0</v>
      </c>
      <c r="T206" s="279">
        <v>6</v>
      </c>
      <c r="U206" s="279" t="s">
        <v>504</v>
      </c>
      <c r="V206" s="279" t="s">
        <v>504</v>
      </c>
      <c r="W206" s="279" t="s">
        <v>473</v>
      </c>
      <c r="X206" s="279" t="s">
        <v>519</v>
      </c>
      <c r="Y206" s="279"/>
      <c r="Z206" s="279"/>
      <c r="AA206" s="279"/>
      <c r="AB206" s="279" t="s">
        <v>494</v>
      </c>
      <c r="AC206" s="279" t="s">
        <v>490</v>
      </c>
      <c r="AD206" s="279" t="s">
        <v>491</v>
      </c>
      <c r="AE206" s="279">
        <v>80242</v>
      </c>
      <c r="AF206" s="279" t="s">
        <v>473</v>
      </c>
      <c r="AG206" s="279"/>
      <c r="AH206" s="279"/>
      <c r="AI206" s="279">
        <v>20230509</v>
      </c>
      <c r="AJ206" s="462" t="s">
        <v>1155</v>
      </c>
      <c r="AK206" s="279"/>
      <c r="AL206" s="279" t="str">
        <f>IF(AB206="Y","단종모델",LEFT(N206,3)&amp;IFERROR(VLOOKUP(LEFT(N206,3)&amp;P206,#REF!,2,0),""))</f>
        <v>HDM</v>
      </c>
      <c r="AM206" s="469" t="str">
        <f t="shared" si="246"/>
        <v xml:space="preserve">아이오닉6 전기 </v>
      </c>
      <c r="AN206" s="279">
        <f t="shared" ref="AN206:AN253" si="311">G206</f>
        <v>59693249</v>
      </c>
      <c r="AO206" s="279">
        <f t="shared" ref="AO206:AO228" si="312">H206</f>
        <v>0</v>
      </c>
      <c r="AP206" s="279" t="str">
        <f t="shared" ref="AP206:AP253" si="313">LEFT(K206,1)</f>
        <v>E</v>
      </c>
      <c r="AQ206" s="279">
        <f t="shared" ref="AQ206:AQ253" si="314">J206</f>
        <v>5</v>
      </c>
      <c r="AR206" s="279" t="str">
        <f t="shared" ref="AR206:AR253" si="315">RIGHT(D206,2)</f>
        <v>승용</v>
      </c>
      <c r="AS206" s="279" t="str">
        <f t="shared" ref="AS206:AS253" si="316">MID(W206,4,3)</f>
        <v>승용</v>
      </c>
      <c r="AT206" s="279" t="str">
        <f t="shared" ref="AT206:AT253" si="317">RIGHT(AC206,2)</f>
        <v>7급</v>
      </c>
      <c r="AU206" s="279" t="str">
        <f t="shared" ref="AU206:AU253" si="318">AB206</f>
        <v>01:아산</v>
      </c>
      <c r="AV206" s="279">
        <f t="shared" si="235"/>
        <v>0</v>
      </c>
      <c r="AW206" s="279" t="str">
        <f t="shared" ref="AW206:AW227" si="319">LEFT(F206,1)</f>
        <v>D</v>
      </c>
      <c r="AX206" s="279" t="str">
        <f t="shared" si="245"/>
        <v>전기</v>
      </c>
      <c r="AY206" s="468">
        <v>0.03</v>
      </c>
      <c r="AZ206" s="468"/>
      <c r="BA206" s="279" t="s">
        <v>1696</v>
      </c>
      <c r="BB206" s="279" t="s">
        <v>822</v>
      </c>
      <c r="BC206" s="279"/>
      <c r="BD206" s="279" t="s">
        <v>1476</v>
      </c>
      <c r="BE206" s="279" t="str">
        <f t="shared" si="232"/>
        <v>현대</v>
      </c>
      <c r="BF206" s="581">
        <v>4.1000000000000002E-2</v>
      </c>
      <c r="BG206" s="281">
        <v>0</v>
      </c>
      <c r="BH206" s="281">
        <v>381000</v>
      </c>
      <c r="BI206" s="279"/>
      <c r="BJ206" s="279"/>
      <c r="BK206" s="279"/>
      <c r="BL206" s="279"/>
      <c r="BM206" s="279" t="s">
        <v>1547</v>
      </c>
      <c r="BN206" s="279"/>
      <c r="BO206" s="279"/>
      <c r="BP206" s="500">
        <f t="shared" si="233"/>
        <v>6.5000000000000002E-2</v>
      </c>
      <c r="BQ206" s="973">
        <f t="shared" si="234"/>
        <v>5.8000000000000003E-2</v>
      </c>
    </row>
    <row r="207" spans="1:69" s="460" customFormat="1" ht="15" customHeight="1">
      <c r="A207" s="281">
        <v>196</v>
      </c>
      <c r="B207" s="279">
        <v>365675319</v>
      </c>
      <c r="C207" s="279" t="s">
        <v>472</v>
      </c>
      <c r="D207" s="279" t="s">
        <v>473</v>
      </c>
      <c r="E207" s="279" t="s">
        <v>482</v>
      </c>
      <c r="F207" s="279" t="s">
        <v>474</v>
      </c>
      <c r="G207" s="279">
        <v>83900000</v>
      </c>
      <c r="H207" s="279">
        <v>0</v>
      </c>
      <c r="I207" s="279">
        <v>0</v>
      </c>
      <c r="J207" s="279">
        <v>5</v>
      </c>
      <c r="K207" s="279" t="s">
        <v>560</v>
      </c>
      <c r="L207" s="279">
        <v>0</v>
      </c>
      <c r="M207" s="279" t="s">
        <v>98</v>
      </c>
      <c r="N207" s="279" t="s">
        <v>544</v>
      </c>
      <c r="O207" s="279" t="s">
        <v>101</v>
      </c>
      <c r="P207" s="279" t="s">
        <v>101</v>
      </c>
      <c r="Q207" s="279" t="s">
        <v>920</v>
      </c>
      <c r="R207" s="279"/>
      <c r="S207" s="279">
        <v>0</v>
      </c>
      <c r="T207" s="279">
        <v>4.3</v>
      </c>
      <c r="U207" s="279"/>
      <c r="V207" s="279"/>
      <c r="W207" s="279" t="s">
        <v>473</v>
      </c>
      <c r="X207" s="279" t="s">
        <v>519</v>
      </c>
      <c r="Y207" s="279"/>
      <c r="Z207" s="279"/>
      <c r="AA207" s="279"/>
      <c r="AB207" s="279" t="s">
        <v>486</v>
      </c>
      <c r="AC207" s="279" t="s">
        <v>490</v>
      </c>
      <c r="AD207" s="279" t="s">
        <v>491</v>
      </c>
      <c r="AE207" s="279">
        <v>75319</v>
      </c>
      <c r="AF207" s="279" t="s">
        <v>473</v>
      </c>
      <c r="AG207" s="279"/>
      <c r="AH207" s="279"/>
      <c r="AI207" s="279">
        <v>20230509</v>
      </c>
      <c r="AJ207" s="462" t="s">
        <v>1155</v>
      </c>
      <c r="AK207" s="279"/>
      <c r="AL207" s="279" t="str">
        <f>IF(AB207="Y","단종모델",LEFT(N207,3)&amp;IFERROR(VLOOKUP(LEFT(N207,3)&amp;P207,#REF!,2,0),""))</f>
        <v>GNS</v>
      </c>
      <c r="AM207" s="469" t="str">
        <f t="shared" si="246"/>
        <v xml:space="preserve">G80 전기 </v>
      </c>
      <c r="AN207" s="279">
        <f t="shared" si="311"/>
        <v>83900000</v>
      </c>
      <c r="AO207" s="279">
        <f t="shared" si="312"/>
        <v>0</v>
      </c>
      <c r="AP207" s="279" t="str">
        <f t="shared" si="313"/>
        <v>E</v>
      </c>
      <c r="AQ207" s="279">
        <f t="shared" si="314"/>
        <v>5</v>
      </c>
      <c r="AR207" s="279" t="str">
        <f t="shared" si="315"/>
        <v>승용</v>
      </c>
      <c r="AS207" s="279" t="str">
        <f t="shared" si="316"/>
        <v>승용</v>
      </c>
      <c r="AT207" s="279" t="str">
        <f t="shared" si="317"/>
        <v>7급</v>
      </c>
      <c r="AU207" s="279" t="str">
        <f t="shared" si="318"/>
        <v>03:울산대형</v>
      </c>
      <c r="AV207" s="279">
        <f t="shared" si="235"/>
        <v>0</v>
      </c>
      <c r="AW207" s="279" t="str">
        <f t="shared" si="319"/>
        <v>D</v>
      </c>
      <c r="AX207" s="279" t="str">
        <f t="shared" si="245"/>
        <v>전기</v>
      </c>
      <c r="AY207" s="468">
        <v>0.02</v>
      </c>
      <c r="AZ207" s="468"/>
      <c r="BA207" s="1291" t="s">
        <v>1689</v>
      </c>
      <c r="BB207" s="279" t="s">
        <v>822</v>
      </c>
      <c r="BC207" s="279"/>
      <c r="BD207" s="279" t="s">
        <v>1476</v>
      </c>
      <c r="BE207" s="279" t="str">
        <f t="shared" si="232"/>
        <v>제네시스</v>
      </c>
      <c r="BF207" s="581">
        <v>4.1000000000000002E-2</v>
      </c>
      <c r="BG207" s="281">
        <v>82000</v>
      </c>
      <c r="BH207" s="281">
        <v>329000</v>
      </c>
      <c r="BI207" s="279"/>
      <c r="BJ207" s="279"/>
      <c r="BK207" s="279"/>
      <c r="BL207" s="279"/>
      <c r="BM207" s="279" t="s">
        <v>1547</v>
      </c>
      <c r="BN207" s="279"/>
      <c r="BO207" s="279"/>
      <c r="BP207" s="500">
        <f t="shared" si="233"/>
        <v>6.5000000000000002E-2</v>
      </c>
      <c r="BQ207" s="973">
        <f t="shared" si="234"/>
        <v>5.8000000000000003E-2</v>
      </c>
    </row>
    <row r="208" spans="1:69" s="460" customFormat="1" ht="15" customHeight="1">
      <c r="A208" s="281">
        <v>197</v>
      </c>
      <c r="B208" s="279">
        <v>401576264</v>
      </c>
      <c r="C208" s="279" t="s">
        <v>472</v>
      </c>
      <c r="D208" s="279" t="s">
        <v>528</v>
      </c>
      <c r="E208" s="279" t="s">
        <v>482</v>
      </c>
      <c r="F208" s="279" t="s">
        <v>474</v>
      </c>
      <c r="G208" s="279">
        <v>59900000</v>
      </c>
      <c r="H208" s="279">
        <v>0</v>
      </c>
      <c r="I208" s="279">
        <v>0</v>
      </c>
      <c r="J208" s="279">
        <v>5</v>
      </c>
      <c r="K208" s="279" t="s">
        <v>560</v>
      </c>
      <c r="L208" s="279">
        <v>0</v>
      </c>
      <c r="M208" s="279" t="s">
        <v>98</v>
      </c>
      <c r="N208" s="279" t="s">
        <v>544</v>
      </c>
      <c r="O208" s="279" t="s">
        <v>568</v>
      </c>
      <c r="P208" s="279" t="s">
        <v>492</v>
      </c>
      <c r="Q208" s="279" t="s">
        <v>919</v>
      </c>
      <c r="R208" s="279" t="s">
        <v>569</v>
      </c>
      <c r="S208" s="279">
        <v>0</v>
      </c>
      <c r="T208" s="279">
        <v>5.0999999999999996</v>
      </c>
      <c r="U208" s="279" t="s">
        <v>504</v>
      </c>
      <c r="V208" s="279" t="s">
        <v>504</v>
      </c>
      <c r="W208" s="279" t="s">
        <v>473</v>
      </c>
      <c r="X208" s="279" t="s">
        <v>519</v>
      </c>
      <c r="Y208" s="279"/>
      <c r="Z208" s="279"/>
      <c r="AA208" s="279"/>
      <c r="AB208" s="279" t="s">
        <v>486</v>
      </c>
      <c r="AC208" s="279" t="s">
        <v>490</v>
      </c>
      <c r="AD208" s="279" t="s">
        <v>491</v>
      </c>
      <c r="AE208" s="279">
        <v>76264</v>
      </c>
      <c r="AF208" s="279" t="s">
        <v>473</v>
      </c>
      <c r="AG208" s="279"/>
      <c r="AH208" s="279"/>
      <c r="AI208" s="279">
        <v>20230509</v>
      </c>
      <c r="AJ208" s="462" t="s">
        <v>1155</v>
      </c>
      <c r="AK208" s="279"/>
      <c r="AL208" s="279" t="str">
        <f>IF(AB208="Y","단종모델",LEFT(N208,3)&amp;IFERROR(VLOOKUP(LEFT(N208,3)&amp;P208,#REF!,2,0),""))</f>
        <v>GNS</v>
      </c>
      <c r="AM208" s="469" t="str">
        <f t="shared" si="246"/>
        <v>GV60 전기 스탠다드 2WD</v>
      </c>
      <c r="AN208" s="279">
        <f t="shared" si="311"/>
        <v>59900000</v>
      </c>
      <c r="AO208" s="279">
        <f t="shared" si="312"/>
        <v>0</v>
      </c>
      <c r="AP208" s="279" t="str">
        <f t="shared" si="313"/>
        <v>E</v>
      </c>
      <c r="AQ208" s="279">
        <f t="shared" si="314"/>
        <v>5</v>
      </c>
      <c r="AR208" s="279" t="str">
        <f t="shared" si="315"/>
        <v>RV</v>
      </c>
      <c r="AS208" s="279" t="str">
        <f t="shared" si="316"/>
        <v>승용</v>
      </c>
      <c r="AT208" s="279" t="str">
        <f t="shared" si="317"/>
        <v>7급</v>
      </c>
      <c r="AU208" s="279" t="str">
        <f t="shared" si="318"/>
        <v>03:울산대형</v>
      </c>
      <c r="AV208" s="279">
        <f t="shared" si="235"/>
        <v>0</v>
      </c>
      <c r="AW208" s="279" t="str">
        <f t="shared" si="319"/>
        <v>D</v>
      </c>
      <c r="AX208" s="279" t="str">
        <f t="shared" si="245"/>
        <v>전기</v>
      </c>
      <c r="AY208" s="468">
        <v>0.02</v>
      </c>
      <c r="AZ208" s="468"/>
      <c r="BA208" s="1291" t="s">
        <v>1686</v>
      </c>
      <c r="BB208" s="279" t="s">
        <v>822</v>
      </c>
      <c r="BC208" s="279"/>
      <c r="BD208" s="279" t="s">
        <v>1476</v>
      </c>
      <c r="BE208" s="279" t="str">
        <f t="shared" si="232"/>
        <v>제네시스</v>
      </c>
      <c r="BF208" s="581">
        <v>4.1000000000000002E-2</v>
      </c>
      <c r="BG208" s="281">
        <v>81000</v>
      </c>
      <c r="BH208" s="281">
        <v>329000</v>
      </c>
      <c r="BI208" s="279"/>
      <c r="BJ208" s="279"/>
      <c r="BK208" s="279"/>
      <c r="BL208" s="279"/>
      <c r="BM208" s="279" t="s">
        <v>1547</v>
      </c>
      <c r="BN208" s="279"/>
      <c r="BO208" s="279"/>
      <c r="BP208" s="500">
        <f t="shared" si="233"/>
        <v>6.5000000000000002E-2</v>
      </c>
      <c r="BQ208" s="973">
        <f t="shared" si="234"/>
        <v>5.8000000000000003E-2</v>
      </c>
    </row>
    <row r="209" spans="1:69" s="460" customFormat="1" ht="15" customHeight="1">
      <c r="A209" s="281">
        <v>198</v>
      </c>
      <c r="B209" s="279">
        <v>401576265</v>
      </c>
      <c r="C209" s="279" t="s">
        <v>472</v>
      </c>
      <c r="D209" s="279" t="s">
        <v>528</v>
      </c>
      <c r="E209" s="279" t="s">
        <v>482</v>
      </c>
      <c r="F209" s="279" t="s">
        <v>474</v>
      </c>
      <c r="G209" s="279">
        <v>64590000</v>
      </c>
      <c r="H209" s="279">
        <v>0</v>
      </c>
      <c r="I209" s="279">
        <v>0</v>
      </c>
      <c r="J209" s="279">
        <v>5</v>
      </c>
      <c r="K209" s="279" t="s">
        <v>560</v>
      </c>
      <c r="L209" s="279">
        <v>0</v>
      </c>
      <c r="M209" s="279" t="s">
        <v>98</v>
      </c>
      <c r="N209" s="279" t="s">
        <v>544</v>
      </c>
      <c r="O209" s="279" t="s">
        <v>568</v>
      </c>
      <c r="P209" s="279" t="s">
        <v>492</v>
      </c>
      <c r="Q209" s="279" t="s">
        <v>919</v>
      </c>
      <c r="R209" s="279" t="s">
        <v>570</v>
      </c>
      <c r="S209" s="279">
        <v>0</v>
      </c>
      <c r="T209" s="279">
        <v>4.5</v>
      </c>
      <c r="U209" s="279" t="s">
        <v>504</v>
      </c>
      <c r="V209" s="279" t="s">
        <v>504</v>
      </c>
      <c r="W209" s="279" t="s">
        <v>473</v>
      </c>
      <c r="X209" s="279" t="s">
        <v>519</v>
      </c>
      <c r="Y209" s="279"/>
      <c r="Z209" s="279"/>
      <c r="AA209" s="279"/>
      <c r="AB209" s="279" t="s">
        <v>486</v>
      </c>
      <c r="AC209" s="279" t="s">
        <v>490</v>
      </c>
      <c r="AD209" s="279" t="s">
        <v>491</v>
      </c>
      <c r="AE209" s="279">
        <v>76265</v>
      </c>
      <c r="AF209" s="279" t="s">
        <v>473</v>
      </c>
      <c r="AG209" s="279"/>
      <c r="AH209" s="279"/>
      <c r="AI209" s="279">
        <v>20230509</v>
      </c>
      <c r="AJ209" s="462" t="s">
        <v>1155</v>
      </c>
      <c r="AK209" s="279"/>
      <c r="AL209" s="279" t="str">
        <f>IF(AB209="Y","단종모델",LEFT(N209,3)&amp;IFERROR(VLOOKUP(LEFT(N209,3)&amp;P209,#REF!,2,0),""))</f>
        <v>GNS</v>
      </c>
      <c r="AM209" s="469" t="str">
        <f t="shared" si="246"/>
        <v>GV60 전기 스탠다드 AWD</v>
      </c>
      <c r="AN209" s="279">
        <f t="shared" si="311"/>
        <v>64590000</v>
      </c>
      <c r="AO209" s="279">
        <f t="shared" si="312"/>
        <v>0</v>
      </c>
      <c r="AP209" s="279" t="str">
        <f t="shared" si="313"/>
        <v>E</v>
      </c>
      <c r="AQ209" s="279">
        <f t="shared" si="314"/>
        <v>5</v>
      </c>
      <c r="AR209" s="279" t="str">
        <f t="shared" si="315"/>
        <v>RV</v>
      </c>
      <c r="AS209" s="279" t="str">
        <f t="shared" si="316"/>
        <v>승용</v>
      </c>
      <c r="AT209" s="279" t="str">
        <f t="shared" si="317"/>
        <v>7급</v>
      </c>
      <c r="AU209" s="279" t="str">
        <f t="shared" si="318"/>
        <v>03:울산대형</v>
      </c>
      <c r="AV209" s="279">
        <f t="shared" si="235"/>
        <v>0</v>
      </c>
      <c r="AW209" s="279" t="str">
        <f t="shared" si="319"/>
        <v>D</v>
      </c>
      <c r="AX209" s="279" t="str">
        <f t="shared" si="245"/>
        <v>전기</v>
      </c>
      <c r="AY209" s="468">
        <v>0.02</v>
      </c>
      <c r="AZ209" s="468"/>
      <c r="BA209" s="1291" t="s">
        <v>1686</v>
      </c>
      <c r="BB209" s="279" t="s">
        <v>822</v>
      </c>
      <c r="BC209" s="279"/>
      <c r="BD209" s="279" t="s">
        <v>1476</v>
      </c>
      <c r="BE209" s="279" t="str">
        <f t="shared" si="232"/>
        <v>제네시스</v>
      </c>
      <c r="BF209" s="581">
        <v>4.1000000000000002E-2</v>
      </c>
      <c r="BG209" s="281">
        <v>81000</v>
      </c>
      <c r="BH209" s="281">
        <v>329000</v>
      </c>
      <c r="BI209" s="279"/>
      <c r="BJ209" s="279"/>
      <c r="BK209" s="279"/>
      <c r="BL209" s="279"/>
      <c r="BM209" s="279" t="s">
        <v>1547</v>
      </c>
      <c r="BN209" s="279"/>
      <c r="BO209" s="279"/>
      <c r="BP209" s="500">
        <f t="shared" si="233"/>
        <v>6.5000000000000002E-2</v>
      </c>
      <c r="BQ209" s="973">
        <f t="shared" si="234"/>
        <v>5.8000000000000003E-2</v>
      </c>
    </row>
    <row r="210" spans="1:69" s="460" customFormat="1" ht="15" customHeight="1">
      <c r="A210" s="281">
        <v>199</v>
      </c>
      <c r="B210" s="279">
        <v>401576266</v>
      </c>
      <c r="C210" s="279" t="s">
        <v>472</v>
      </c>
      <c r="D210" s="279" t="s">
        <v>528</v>
      </c>
      <c r="E210" s="279" t="s">
        <v>482</v>
      </c>
      <c r="F210" s="279" t="s">
        <v>474</v>
      </c>
      <c r="G210" s="279">
        <v>70000000</v>
      </c>
      <c r="H210" s="279">
        <v>0</v>
      </c>
      <c r="I210" s="279">
        <v>0</v>
      </c>
      <c r="J210" s="279">
        <v>5</v>
      </c>
      <c r="K210" s="279" t="s">
        <v>560</v>
      </c>
      <c r="L210" s="279">
        <v>0</v>
      </c>
      <c r="M210" s="279" t="s">
        <v>98</v>
      </c>
      <c r="N210" s="279" t="s">
        <v>544</v>
      </c>
      <c r="O210" s="279" t="s">
        <v>568</v>
      </c>
      <c r="P210" s="279" t="s">
        <v>492</v>
      </c>
      <c r="Q210" s="279" t="s">
        <v>919</v>
      </c>
      <c r="R210" s="279" t="s">
        <v>571</v>
      </c>
      <c r="S210" s="279">
        <v>0</v>
      </c>
      <c r="T210" s="279">
        <v>4.0999999999999996</v>
      </c>
      <c r="U210" s="279" t="s">
        <v>559</v>
      </c>
      <c r="V210" s="279" t="s">
        <v>559</v>
      </c>
      <c r="W210" s="279" t="s">
        <v>473</v>
      </c>
      <c r="X210" s="279" t="s">
        <v>519</v>
      </c>
      <c r="Y210" s="279"/>
      <c r="Z210" s="279"/>
      <c r="AA210" s="279"/>
      <c r="AB210" s="279" t="s">
        <v>486</v>
      </c>
      <c r="AC210" s="279" t="s">
        <v>490</v>
      </c>
      <c r="AD210" s="279" t="s">
        <v>491</v>
      </c>
      <c r="AE210" s="279">
        <v>76266</v>
      </c>
      <c r="AF210" s="279" t="s">
        <v>473</v>
      </c>
      <c r="AG210" s="279"/>
      <c r="AH210" s="279"/>
      <c r="AI210" s="279">
        <v>20230509</v>
      </c>
      <c r="AJ210" s="462" t="s">
        <v>1155</v>
      </c>
      <c r="AK210" s="279"/>
      <c r="AL210" s="279" t="str">
        <f>IF(AB210="Y","단종모델",LEFT(N210,3)&amp;IFERROR(VLOOKUP(LEFT(N210,3)&amp;P210,#REF!,2,0),""))</f>
        <v>GNS</v>
      </c>
      <c r="AM210" s="469" t="str">
        <f t="shared" si="246"/>
        <v>GV60 전기 퍼포먼스 AWD</v>
      </c>
      <c r="AN210" s="279">
        <f t="shared" si="311"/>
        <v>70000000</v>
      </c>
      <c r="AO210" s="279">
        <f t="shared" si="312"/>
        <v>0</v>
      </c>
      <c r="AP210" s="279" t="str">
        <f t="shared" si="313"/>
        <v>E</v>
      </c>
      <c r="AQ210" s="279">
        <f t="shared" si="314"/>
        <v>5</v>
      </c>
      <c r="AR210" s="279" t="str">
        <f t="shared" si="315"/>
        <v>RV</v>
      </c>
      <c r="AS210" s="279" t="str">
        <f t="shared" si="316"/>
        <v>승용</v>
      </c>
      <c r="AT210" s="279" t="str">
        <f t="shared" si="317"/>
        <v>7급</v>
      </c>
      <c r="AU210" s="279" t="str">
        <f t="shared" si="318"/>
        <v>03:울산대형</v>
      </c>
      <c r="AV210" s="279">
        <f t="shared" si="235"/>
        <v>0</v>
      </c>
      <c r="AW210" s="279" t="str">
        <f t="shared" si="319"/>
        <v>D</v>
      </c>
      <c r="AX210" s="279" t="str">
        <f t="shared" si="245"/>
        <v>전기</v>
      </c>
      <c r="AY210" s="468">
        <v>0.02</v>
      </c>
      <c r="AZ210" s="468"/>
      <c r="BA210" s="1291" t="s">
        <v>1686</v>
      </c>
      <c r="BB210" s="279" t="s">
        <v>822</v>
      </c>
      <c r="BC210" s="279"/>
      <c r="BD210" s="279" t="s">
        <v>1476</v>
      </c>
      <c r="BE210" s="279" t="str">
        <f t="shared" si="232"/>
        <v>제네시스</v>
      </c>
      <c r="BF210" s="581">
        <v>4.1000000000000002E-2</v>
      </c>
      <c r="BG210" s="281">
        <v>81000</v>
      </c>
      <c r="BH210" s="281">
        <v>329000</v>
      </c>
      <c r="BI210" s="279"/>
      <c r="BJ210" s="279"/>
      <c r="BK210" s="279"/>
      <c r="BL210" s="279"/>
      <c r="BM210" s="279" t="s">
        <v>1547</v>
      </c>
      <c r="BN210" s="279"/>
      <c r="BO210" s="279"/>
      <c r="BP210" s="500">
        <f t="shared" ref="BP210:BP253" si="320">IF(AJ210="전략P",0.062,IF(AJ210="전략",0.068,IF(AND(AJ210="전기",LEFT(AM210,2)="레이"),0.145,IF(AJ210="전기",0.065,IF(LEFT(AM210,3)="캐스퍼",0.093,IF(H210&lt;1000,0.145,0.093))))))-IF(BO210&gt;0,BO210%,0%)</f>
        <v>6.5000000000000002E-2</v>
      </c>
      <c r="BQ210" s="973">
        <f t="shared" si="234"/>
        <v>5.8000000000000003E-2</v>
      </c>
    </row>
    <row r="211" spans="1:69" s="460" customFormat="1" ht="15" customHeight="1">
      <c r="A211" s="281">
        <v>200</v>
      </c>
      <c r="B211" s="279">
        <v>384978344</v>
      </c>
      <c r="C211" s="279" t="s">
        <v>472</v>
      </c>
      <c r="D211" s="279" t="s">
        <v>528</v>
      </c>
      <c r="E211" s="279" t="s">
        <v>482</v>
      </c>
      <c r="F211" s="279" t="s">
        <v>474</v>
      </c>
      <c r="G211" s="279">
        <v>73800000</v>
      </c>
      <c r="H211" s="279">
        <v>0</v>
      </c>
      <c r="I211" s="279">
        <v>0</v>
      </c>
      <c r="J211" s="279">
        <v>5</v>
      </c>
      <c r="K211" s="279" t="s">
        <v>560</v>
      </c>
      <c r="L211" s="279">
        <v>0</v>
      </c>
      <c r="M211" s="279" t="s">
        <v>98</v>
      </c>
      <c r="N211" s="279" t="s">
        <v>544</v>
      </c>
      <c r="O211" s="279" t="s">
        <v>557</v>
      </c>
      <c r="P211" s="279" t="s">
        <v>558</v>
      </c>
      <c r="Q211" s="279" t="s">
        <v>919</v>
      </c>
      <c r="R211" s="279"/>
      <c r="S211" s="279">
        <v>0</v>
      </c>
      <c r="T211" s="279">
        <v>4.5999999999999996</v>
      </c>
      <c r="U211" s="279" t="s">
        <v>504</v>
      </c>
      <c r="V211" s="279" t="s">
        <v>504</v>
      </c>
      <c r="W211" s="279" t="s">
        <v>473</v>
      </c>
      <c r="X211" s="279" t="s">
        <v>519</v>
      </c>
      <c r="Y211" s="279"/>
      <c r="Z211" s="279"/>
      <c r="AA211" s="279"/>
      <c r="AB211" s="279" t="s">
        <v>486</v>
      </c>
      <c r="AC211" s="279" t="s">
        <v>490</v>
      </c>
      <c r="AD211" s="279" t="s">
        <v>491</v>
      </c>
      <c r="AE211" s="279">
        <v>78344</v>
      </c>
      <c r="AF211" s="279" t="s">
        <v>473</v>
      </c>
      <c r="AG211" s="279"/>
      <c r="AH211" s="279"/>
      <c r="AI211" s="279">
        <v>20230509</v>
      </c>
      <c r="AJ211" s="462" t="s">
        <v>1155</v>
      </c>
      <c r="AK211" s="279"/>
      <c r="AL211" s="279" t="str">
        <f>IF(AB211="Y","단종모델",LEFT(N211,3)&amp;IFERROR(VLOOKUP(LEFT(N211,3)&amp;P211,#REF!,2,0),""))</f>
        <v>GNS</v>
      </c>
      <c r="AM211" s="469" t="str">
        <f t="shared" si="246"/>
        <v xml:space="preserve">GV70 전기 </v>
      </c>
      <c r="AN211" s="279">
        <f t="shared" si="311"/>
        <v>73800000</v>
      </c>
      <c r="AO211" s="279">
        <f t="shared" si="312"/>
        <v>0</v>
      </c>
      <c r="AP211" s="279" t="str">
        <f t="shared" si="313"/>
        <v>E</v>
      </c>
      <c r="AQ211" s="279">
        <f t="shared" si="314"/>
        <v>5</v>
      </c>
      <c r="AR211" s="279" t="str">
        <f t="shared" si="315"/>
        <v>RV</v>
      </c>
      <c r="AS211" s="279" t="str">
        <f t="shared" si="316"/>
        <v>승용</v>
      </c>
      <c r="AT211" s="279" t="str">
        <f t="shared" si="317"/>
        <v>7급</v>
      </c>
      <c r="AU211" s="279" t="str">
        <f t="shared" si="318"/>
        <v>03:울산대형</v>
      </c>
      <c r="AV211" s="279">
        <f t="shared" si="235"/>
        <v>0</v>
      </c>
      <c r="AW211" s="279" t="str">
        <f t="shared" si="319"/>
        <v>D</v>
      </c>
      <c r="AX211" s="279" t="str">
        <f t="shared" si="245"/>
        <v>전기</v>
      </c>
      <c r="AY211" s="468">
        <v>0.02</v>
      </c>
      <c r="AZ211" s="468"/>
      <c r="BA211" s="1291" t="s">
        <v>1690</v>
      </c>
      <c r="BB211" s="279" t="s">
        <v>822</v>
      </c>
      <c r="BC211" s="279"/>
      <c r="BD211" s="279" t="s">
        <v>1476</v>
      </c>
      <c r="BE211" s="279" t="str">
        <f t="shared" si="232"/>
        <v>제네시스</v>
      </c>
      <c r="BF211" s="581">
        <v>4.1000000000000002E-2</v>
      </c>
      <c r="BG211" s="281">
        <v>82000</v>
      </c>
      <c r="BH211" s="281">
        <v>318000</v>
      </c>
      <c r="BI211" s="279"/>
      <c r="BJ211" s="279"/>
      <c r="BK211" s="279"/>
      <c r="BL211" s="279"/>
      <c r="BM211" s="279" t="s">
        <v>1547</v>
      </c>
      <c r="BN211" s="279"/>
      <c r="BO211" s="279"/>
      <c r="BP211" s="500">
        <f t="shared" si="320"/>
        <v>6.5000000000000002E-2</v>
      </c>
      <c r="BQ211" s="973">
        <f t="shared" ref="BQ211:BQ253" si="321">BP211-0.007</f>
        <v>5.8000000000000003E-2</v>
      </c>
    </row>
    <row r="212" spans="1:69" s="460" customFormat="1" ht="15" customHeight="1">
      <c r="A212" s="281">
        <v>201</v>
      </c>
      <c r="B212" s="279">
        <v>456786402</v>
      </c>
      <c r="C212" s="279" t="s">
        <v>521</v>
      </c>
      <c r="D212" s="279" t="s">
        <v>473</v>
      </c>
      <c r="E212" s="279" t="s">
        <v>482</v>
      </c>
      <c r="F212" s="279" t="s">
        <v>474</v>
      </c>
      <c r="G212" s="279">
        <v>27750000</v>
      </c>
      <c r="H212" s="279">
        <v>0</v>
      </c>
      <c r="I212" s="279">
        <v>0</v>
      </c>
      <c r="J212" s="279">
        <v>4</v>
      </c>
      <c r="K212" s="279" t="s">
        <v>560</v>
      </c>
      <c r="L212" s="279">
        <v>0</v>
      </c>
      <c r="M212" s="279" t="s">
        <v>111</v>
      </c>
      <c r="N212" s="279" t="s">
        <v>522</v>
      </c>
      <c r="O212" s="279" t="s">
        <v>1197</v>
      </c>
      <c r="P212" s="279" t="s">
        <v>116</v>
      </c>
      <c r="Q212" s="279" t="s">
        <v>1199</v>
      </c>
      <c r="R212" s="279"/>
      <c r="S212" s="279">
        <v>0</v>
      </c>
      <c r="T212" s="279">
        <v>5.0999999999999996</v>
      </c>
      <c r="U212" s="279" t="s">
        <v>1198</v>
      </c>
      <c r="V212" s="279" t="s">
        <v>1198</v>
      </c>
      <c r="W212" s="279" t="s">
        <v>473</v>
      </c>
      <c r="X212" s="279" t="s">
        <v>519</v>
      </c>
      <c r="Y212" s="279"/>
      <c r="Z212" s="279"/>
      <c r="AA212" s="279"/>
      <c r="AB212" s="279" t="s">
        <v>18</v>
      </c>
      <c r="AC212" s="279" t="s">
        <v>490</v>
      </c>
      <c r="AD212" s="279" t="s">
        <v>491</v>
      </c>
      <c r="AE212" s="279">
        <v>86402</v>
      </c>
      <c r="AF212" s="279" t="s">
        <v>473</v>
      </c>
      <c r="AG212" s="279"/>
      <c r="AH212" s="279"/>
      <c r="AI212" s="279">
        <v>20230918</v>
      </c>
      <c r="AJ212" s="462" t="s">
        <v>823</v>
      </c>
      <c r="AK212" s="279"/>
      <c r="AL212" s="279" t="str">
        <f>IF(AB212="Y","단종모델",LEFT(N212,3)&amp;IFERROR(VLOOKUP(LEFT(N212,3)&amp;P212,#REF!,2,0),""))</f>
        <v>KIA</v>
      </c>
      <c r="AM212" s="469" t="str">
        <f t="shared" si="246"/>
        <v xml:space="preserve">레이 EV 전기 </v>
      </c>
      <c r="AN212" s="279">
        <f t="shared" si="311"/>
        <v>27750000</v>
      </c>
      <c r="AO212" s="279">
        <f t="shared" ref="AO212" si="322">H212</f>
        <v>0</v>
      </c>
      <c r="AP212" s="279" t="str">
        <f t="shared" ref="AP212" si="323">LEFT(K212,1)</f>
        <v>E</v>
      </c>
      <c r="AQ212" s="279">
        <f t="shared" ref="AQ212" si="324">J212</f>
        <v>4</v>
      </c>
      <c r="AR212" s="279" t="str">
        <f t="shared" ref="AR212" si="325">RIGHT(D212,2)</f>
        <v>승용</v>
      </c>
      <c r="AS212" s="279" t="str">
        <f t="shared" ref="AS212" si="326">MID(W212,4,3)</f>
        <v>승용</v>
      </c>
      <c r="AT212" s="279" t="str">
        <f t="shared" ref="AT212" si="327">RIGHT(AC212,2)</f>
        <v>7급</v>
      </c>
      <c r="AU212" s="279" t="str">
        <f t="shared" ref="AU212" si="328">AB212</f>
        <v>04:서산</v>
      </c>
      <c r="AV212" s="279">
        <f t="shared" si="235"/>
        <v>1900</v>
      </c>
      <c r="AW212" s="279" t="str">
        <f t="shared" ref="AW212" si="329">LEFT(F212,1)</f>
        <v>D</v>
      </c>
      <c r="AX212" s="279" t="str">
        <f t="shared" ref="AX212" si="330">AJ212</f>
        <v>전기</v>
      </c>
      <c r="AY212" s="468">
        <v>0.02</v>
      </c>
      <c r="AZ212" s="468"/>
      <c r="BA212" s="279" t="s">
        <v>1697</v>
      </c>
      <c r="BB212" s="279" t="s">
        <v>1292</v>
      </c>
      <c r="BC212" s="279"/>
      <c r="BD212" s="279" t="s">
        <v>1476</v>
      </c>
      <c r="BE212" s="279" t="str">
        <f t="shared" ref="BE212:BE247" si="331">M212</f>
        <v>기아</v>
      </c>
      <c r="BF212" s="581">
        <v>4.1000000000000002E-2</v>
      </c>
      <c r="BG212" s="281">
        <v>0</v>
      </c>
      <c r="BH212" s="281">
        <v>0</v>
      </c>
      <c r="BI212" s="279"/>
      <c r="BJ212" s="279"/>
      <c r="BK212" s="279"/>
      <c r="BL212" s="279"/>
      <c r="BM212" s="279" t="s">
        <v>1548</v>
      </c>
      <c r="BN212" s="279"/>
      <c r="BO212" s="279"/>
      <c r="BP212" s="500">
        <f t="shared" si="320"/>
        <v>0.14499999999999999</v>
      </c>
      <c r="BQ212" s="973">
        <f t="shared" si="321"/>
        <v>0.13799999999999998</v>
      </c>
    </row>
    <row r="213" spans="1:69" s="460" customFormat="1" ht="15" customHeight="1">
      <c r="A213" s="281">
        <v>202</v>
      </c>
      <c r="B213" s="279">
        <v>439688430</v>
      </c>
      <c r="C213" s="279" t="s">
        <v>521</v>
      </c>
      <c r="D213" s="279" t="s">
        <v>528</v>
      </c>
      <c r="E213" s="279" t="s">
        <v>482</v>
      </c>
      <c r="F213" s="279" t="s">
        <v>474</v>
      </c>
      <c r="G213" s="279">
        <v>51140000</v>
      </c>
      <c r="H213" s="279">
        <v>0</v>
      </c>
      <c r="I213" s="279">
        <v>0</v>
      </c>
      <c r="J213" s="279">
        <v>5</v>
      </c>
      <c r="K213" s="279" t="s">
        <v>560</v>
      </c>
      <c r="L213" s="279">
        <v>0</v>
      </c>
      <c r="M213" s="279" t="s">
        <v>111</v>
      </c>
      <c r="N213" s="279" t="s">
        <v>522</v>
      </c>
      <c r="O213" s="279" t="s">
        <v>1766</v>
      </c>
      <c r="P213" s="279" t="s">
        <v>122</v>
      </c>
      <c r="Q213" s="279" t="s">
        <v>1767</v>
      </c>
      <c r="R213" s="279"/>
      <c r="S213" s="279">
        <v>0</v>
      </c>
      <c r="T213" s="279">
        <v>5.3</v>
      </c>
      <c r="U213" s="279" t="s">
        <v>502</v>
      </c>
      <c r="V213" s="279" t="s">
        <v>502</v>
      </c>
      <c r="W213" s="279" t="s">
        <v>473</v>
      </c>
      <c r="X213" s="279" t="s">
        <v>519</v>
      </c>
      <c r="Y213" s="279"/>
      <c r="Z213" s="279"/>
      <c r="AA213" s="279"/>
      <c r="AB213" s="279" t="s">
        <v>20</v>
      </c>
      <c r="AC213" s="279" t="s">
        <v>490</v>
      </c>
      <c r="AD213" s="279" t="s">
        <v>491</v>
      </c>
      <c r="AE213" s="279">
        <v>88430</v>
      </c>
      <c r="AF213" s="279" t="s">
        <v>473</v>
      </c>
      <c r="AG213" s="279"/>
      <c r="AH213" s="279">
        <v>0</v>
      </c>
      <c r="AI213" s="279">
        <v>20240819</v>
      </c>
      <c r="AJ213" s="462" t="s">
        <v>1155</v>
      </c>
      <c r="AK213" s="279"/>
      <c r="AL213" s="279" t="str">
        <f>IF(AB213="Y","단종모델",LEFT(N213,3)&amp;IFERROR(VLOOKUP(LEFT(N213,3)&amp;P213,#REF!,2,0),""))</f>
        <v>KIA</v>
      </c>
      <c r="AM213" s="469" t="str">
        <f>O213&amp;" "&amp;Q213&amp;" "&amp;R213</f>
        <v xml:space="preserve">니로 EV 전기 </v>
      </c>
      <c r="AN213" s="279">
        <f t="shared" si="311"/>
        <v>51140000</v>
      </c>
      <c r="AO213" s="279">
        <f t="shared" si="312"/>
        <v>0</v>
      </c>
      <c r="AP213" s="279" t="str">
        <f t="shared" si="313"/>
        <v>E</v>
      </c>
      <c r="AQ213" s="279">
        <f t="shared" si="314"/>
        <v>5</v>
      </c>
      <c r="AR213" s="279" t="str">
        <f t="shared" si="315"/>
        <v>RV</v>
      </c>
      <c r="AS213" s="279" t="str">
        <f t="shared" si="316"/>
        <v>승용</v>
      </c>
      <c r="AT213" s="279" t="str">
        <f t="shared" si="317"/>
        <v>7급</v>
      </c>
      <c r="AU213" s="279" t="str">
        <f t="shared" si="318"/>
        <v>06:화성</v>
      </c>
      <c r="AV213" s="279">
        <f t="shared" si="235"/>
        <v>1900</v>
      </c>
      <c r="AW213" s="279" t="str">
        <f t="shared" si="319"/>
        <v>D</v>
      </c>
      <c r="AX213" s="279" t="str">
        <f t="shared" si="245"/>
        <v>전기</v>
      </c>
      <c r="AY213" s="975">
        <v>0.01</v>
      </c>
      <c r="AZ213" s="1356">
        <v>1000000</v>
      </c>
      <c r="BA213" s="279" t="s">
        <v>1698</v>
      </c>
      <c r="BB213" s="279" t="s">
        <v>830</v>
      </c>
      <c r="BC213" s="279"/>
      <c r="BD213" s="279" t="s">
        <v>1476</v>
      </c>
      <c r="BE213" s="279" t="str">
        <f t="shared" si="331"/>
        <v>기아</v>
      </c>
      <c r="BF213" s="581">
        <v>4.1000000000000002E-2</v>
      </c>
      <c r="BG213" s="281">
        <v>0</v>
      </c>
      <c r="BH213" s="281">
        <v>0</v>
      </c>
      <c r="BI213" s="279"/>
      <c r="BJ213" s="279"/>
      <c r="BK213" s="279"/>
      <c r="BL213" s="279"/>
      <c r="BM213" s="279" t="s">
        <v>1548</v>
      </c>
      <c r="BN213" s="279"/>
      <c r="BO213" s="279"/>
      <c r="BP213" s="500">
        <f t="shared" si="320"/>
        <v>6.5000000000000002E-2</v>
      </c>
      <c r="BQ213" s="973">
        <f t="shared" si="321"/>
        <v>5.8000000000000003E-2</v>
      </c>
    </row>
    <row r="214" spans="1:69" s="460" customFormat="1" ht="15" customHeight="1">
      <c r="A214" s="281">
        <v>203</v>
      </c>
      <c r="B214" s="279">
        <v>419984517</v>
      </c>
      <c r="C214" s="279" t="s">
        <v>521</v>
      </c>
      <c r="D214" s="279" t="s">
        <v>528</v>
      </c>
      <c r="E214" s="279" t="s">
        <v>482</v>
      </c>
      <c r="F214" s="279" t="s">
        <v>474</v>
      </c>
      <c r="G214" s="279">
        <v>50080000</v>
      </c>
      <c r="H214" s="279">
        <v>0</v>
      </c>
      <c r="I214" s="279">
        <v>0</v>
      </c>
      <c r="J214" s="279">
        <v>5</v>
      </c>
      <c r="K214" s="279" t="s">
        <v>560</v>
      </c>
      <c r="L214" s="279">
        <v>0</v>
      </c>
      <c r="M214" s="279" t="s">
        <v>111</v>
      </c>
      <c r="N214" s="279" t="s">
        <v>522</v>
      </c>
      <c r="O214" s="279" t="s">
        <v>1321</v>
      </c>
      <c r="P214" s="279" t="s">
        <v>122</v>
      </c>
      <c r="Q214" s="279" t="s">
        <v>1320</v>
      </c>
      <c r="R214" s="279"/>
      <c r="S214" s="279">
        <v>0</v>
      </c>
      <c r="T214" s="279">
        <v>5.3</v>
      </c>
      <c r="U214" s="279" t="s">
        <v>502</v>
      </c>
      <c r="V214" s="279" t="s">
        <v>502</v>
      </c>
      <c r="W214" s="279" t="s">
        <v>473</v>
      </c>
      <c r="X214" s="279" t="s">
        <v>519</v>
      </c>
      <c r="Y214" s="279"/>
      <c r="Z214" s="279"/>
      <c r="AA214" s="279"/>
      <c r="AB214" s="279" t="s">
        <v>20</v>
      </c>
      <c r="AC214" s="279" t="s">
        <v>490</v>
      </c>
      <c r="AD214" s="279" t="s">
        <v>491</v>
      </c>
      <c r="AE214" s="279">
        <v>84517</v>
      </c>
      <c r="AF214" s="279" t="s">
        <v>473</v>
      </c>
      <c r="AG214" s="279"/>
      <c r="AH214" s="279"/>
      <c r="AI214" s="279">
        <v>20240318</v>
      </c>
      <c r="AJ214" s="462" t="s">
        <v>823</v>
      </c>
      <c r="AK214" s="279"/>
      <c r="AL214" s="279" t="str">
        <f>IF(AB214="Y","단종모델",LEFT(N214,3)&amp;IFERROR(VLOOKUP(LEFT(N214,3)&amp;P214,#REF!,2,0),""))</f>
        <v>KIA</v>
      </c>
      <c r="AM214" s="469" t="str">
        <f>O214&amp;" "&amp;Q214&amp;" "&amp;R214</f>
        <v xml:space="preserve">니로 플러스 전기 </v>
      </c>
      <c r="AN214" s="279">
        <f t="shared" ref="AN214:AN224" si="332">G214</f>
        <v>50080000</v>
      </c>
      <c r="AO214" s="279">
        <f t="shared" ref="AO214:AO218" si="333">H214</f>
        <v>0</v>
      </c>
      <c r="AP214" s="279" t="str">
        <f t="shared" ref="AP214:AP218" si="334">LEFT(K214,1)</f>
        <v>E</v>
      </c>
      <c r="AQ214" s="279">
        <f t="shared" ref="AQ214:AQ218" si="335">J214</f>
        <v>5</v>
      </c>
      <c r="AR214" s="279" t="str">
        <f t="shared" ref="AR214:AR218" si="336">RIGHT(D214,2)</f>
        <v>RV</v>
      </c>
      <c r="AS214" s="279" t="str">
        <f t="shared" ref="AS214:AS218" si="337">MID(W214,4,3)</f>
        <v>승용</v>
      </c>
      <c r="AT214" s="279" t="str">
        <f t="shared" ref="AT214:AT218" si="338">RIGHT(AC214,2)</f>
        <v>7급</v>
      </c>
      <c r="AU214" s="279" t="str">
        <f t="shared" ref="AU214:AU218" si="339">AB214</f>
        <v>06:화성</v>
      </c>
      <c r="AV214" s="279">
        <f t="shared" si="235"/>
        <v>1900</v>
      </c>
      <c r="AW214" s="279" t="str">
        <f t="shared" ref="AW214:AW218" si="340">LEFT(F214,1)</f>
        <v>D</v>
      </c>
      <c r="AX214" s="279" t="str">
        <f t="shared" ref="AX214:AX218" si="341">AJ214</f>
        <v>전기</v>
      </c>
      <c r="AY214" s="468">
        <v>5.5E-2</v>
      </c>
      <c r="AZ214" s="468"/>
      <c r="BA214" s="279" t="s">
        <v>1698</v>
      </c>
      <c r="BB214" s="279" t="s">
        <v>830</v>
      </c>
      <c r="BC214" s="279"/>
      <c r="BD214" s="279" t="s">
        <v>1476</v>
      </c>
      <c r="BE214" s="279" t="str">
        <f t="shared" si="331"/>
        <v>기아</v>
      </c>
      <c r="BF214" s="581">
        <v>4.1000000000000002E-2</v>
      </c>
      <c r="BG214" s="281">
        <v>0</v>
      </c>
      <c r="BH214" s="281">
        <v>0</v>
      </c>
      <c r="BI214" s="279"/>
      <c r="BJ214" s="279"/>
      <c r="BK214" s="279"/>
      <c r="BL214" s="279"/>
      <c r="BM214" s="279" t="s">
        <v>1548</v>
      </c>
      <c r="BN214" s="279"/>
      <c r="BO214" s="279"/>
      <c r="BP214" s="500">
        <f t="shared" si="320"/>
        <v>6.5000000000000002E-2</v>
      </c>
      <c r="BQ214" s="973">
        <f t="shared" ref="BQ214:BQ219" si="342">BP214-0.007</f>
        <v>5.8000000000000003E-2</v>
      </c>
    </row>
    <row r="215" spans="1:69" s="460" customFormat="1" ht="15" customHeight="1">
      <c r="A215" s="281">
        <v>204</v>
      </c>
      <c r="B215" s="279">
        <v>464787994</v>
      </c>
      <c r="C215" s="279" t="s">
        <v>521</v>
      </c>
      <c r="D215" s="279" t="s">
        <v>528</v>
      </c>
      <c r="E215" s="279" t="s">
        <v>482</v>
      </c>
      <c r="F215" s="279" t="s">
        <v>474</v>
      </c>
      <c r="G215" s="279">
        <v>42080000</v>
      </c>
      <c r="H215" s="279">
        <v>0</v>
      </c>
      <c r="I215" s="279">
        <v>0</v>
      </c>
      <c r="J215" s="279">
        <v>5</v>
      </c>
      <c r="K215" s="279" t="s">
        <v>560</v>
      </c>
      <c r="L215" s="279">
        <v>0</v>
      </c>
      <c r="M215" s="279" t="s">
        <v>111</v>
      </c>
      <c r="N215" s="279" t="s">
        <v>522</v>
      </c>
      <c r="O215" s="279" t="s">
        <v>1479</v>
      </c>
      <c r="P215" s="279" t="s">
        <v>1483</v>
      </c>
      <c r="Q215" s="279" t="s">
        <v>1484</v>
      </c>
      <c r="R215" s="279"/>
      <c r="S215" s="279">
        <v>0</v>
      </c>
      <c r="T215" s="279">
        <v>5.2</v>
      </c>
      <c r="U215" s="279" t="s">
        <v>553</v>
      </c>
      <c r="V215" s="279" t="s">
        <v>553</v>
      </c>
      <c r="W215" s="279" t="s">
        <v>473</v>
      </c>
      <c r="X215" s="279" t="s">
        <v>519</v>
      </c>
      <c r="Y215" s="279"/>
      <c r="Z215" s="279"/>
      <c r="AA215" s="279"/>
      <c r="AB215" s="279" t="s">
        <v>19</v>
      </c>
      <c r="AC215" s="279" t="s">
        <v>490</v>
      </c>
      <c r="AD215" s="279" t="s">
        <v>491</v>
      </c>
      <c r="AE215" s="279">
        <v>87994</v>
      </c>
      <c r="AF215" s="279" t="s">
        <v>473</v>
      </c>
      <c r="AG215" s="279"/>
      <c r="AH215" s="279"/>
      <c r="AI215" s="279">
        <v>20240607</v>
      </c>
      <c r="AJ215" s="462" t="s">
        <v>823</v>
      </c>
      <c r="AK215" s="279"/>
      <c r="AL215" s="279" t="str">
        <f>IF(AB215="Y","단종모델",LEFT(N215,3)&amp;IFERROR(VLOOKUP(LEFT(N215,3)&amp;P215,#REF!,2,0),""))</f>
        <v>KIA</v>
      </c>
      <c r="AM215" s="469" t="str">
        <f t="shared" ref="AM215:AM223" si="343">O215&amp;" "&amp;Q215&amp;" "&amp;R215</f>
        <v xml:space="preserve">EV3 전기 스탠다드 </v>
      </c>
      <c r="AN215" s="279">
        <f t="shared" si="332"/>
        <v>42080000</v>
      </c>
      <c r="AO215" s="279">
        <f t="shared" si="333"/>
        <v>0</v>
      </c>
      <c r="AP215" s="279" t="str">
        <f t="shared" si="334"/>
        <v>E</v>
      </c>
      <c r="AQ215" s="279">
        <f t="shared" si="335"/>
        <v>5</v>
      </c>
      <c r="AR215" s="279" t="str">
        <f t="shared" si="336"/>
        <v>RV</v>
      </c>
      <c r="AS215" s="279" t="str">
        <f t="shared" si="337"/>
        <v>승용</v>
      </c>
      <c r="AT215" s="279" t="str">
        <f t="shared" si="338"/>
        <v>7급</v>
      </c>
      <c r="AU215" s="279" t="str">
        <f t="shared" si="339"/>
        <v>05:소하리</v>
      </c>
      <c r="AV215" s="279">
        <f t="shared" si="235"/>
        <v>1900</v>
      </c>
      <c r="AW215" s="279" t="str">
        <f t="shared" si="340"/>
        <v>D</v>
      </c>
      <c r="AX215" s="279" t="str">
        <f t="shared" si="341"/>
        <v>전기</v>
      </c>
      <c r="AY215" s="468">
        <v>0.03</v>
      </c>
      <c r="AZ215" s="279"/>
      <c r="BA215" s="279" t="s">
        <v>1685</v>
      </c>
      <c r="BB215" s="279" t="s">
        <v>813</v>
      </c>
      <c r="BC215" s="279"/>
      <c r="BD215" s="279" t="s">
        <v>1476</v>
      </c>
      <c r="BE215" s="279" t="str">
        <f t="shared" si="331"/>
        <v>기아</v>
      </c>
      <c r="BF215" s="581">
        <v>4.1000000000000002E-2</v>
      </c>
      <c r="BG215" s="281">
        <v>0</v>
      </c>
      <c r="BH215" s="281">
        <v>0</v>
      </c>
      <c r="BI215" s="279"/>
      <c r="BJ215" s="279"/>
      <c r="BK215" s="279"/>
      <c r="BL215" s="279"/>
      <c r="BM215" s="279" t="s">
        <v>1548</v>
      </c>
      <c r="BN215" s="279"/>
      <c r="BO215" s="279"/>
      <c r="BP215" s="500">
        <f t="shared" si="320"/>
        <v>6.5000000000000002E-2</v>
      </c>
      <c r="BQ215" s="973">
        <f t="shared" si="342"/>
        <v>5.8000000000000003E-2</v>
      </c>
    </row>
    <row r="216" spans="1:69" s="460" customFormat="1" ht="15" customHeight="1">
      <c r="A216" s="281">
        <v>205</v>
      </c>
      <c r="B216" s="279">
        <v>464787996</v>
      </c>
      <c r="C216" s="279" t="s">
        <v>521</v>
      </c>
      <c r="D216" s="279" t="s">
        <v>528</v>
      </c>
      <c r="E216" s="279" t="s">
        <v>482</v>
      </c>
      <c r="F216" s="279" t="s">
        <v>474</v>
      </c>
      <c r="G216" s="279">
        <v>46660000</v>
      </c>
      <c r="H216" s="279">
        <v>0</v>
      </c>
      <c r="I216" s="279">
        <v>0</v>
      </c>
      <c r="J216" s="279">
        <v>5</v>
      </c>
      <c r="K216" s="279" t="s">
        <v>560</v>
      </c>
      <c r="L216" s="279">
        <v>0</v>
      </c>
      <c r="M216" s="279" t="s">
        <v>111</v>
      </c>
      <c r="N216" s="279" t="s">
        <v>522</v>
      </c>
      <c r="O216" s="279" t="s">
        <v>1479</v>
      </c>
      <c r="P216" s="279" t="s">
        <v>1483</v>
      </c>
      <c r="Q216" s="279" t="s">
        <v>1484</v>
      </c>
      <c r="R216" s="279" t="s">
        <v>1480</v>
      </c>
      <c r="S216" s="279">
        <v>0</v>
      </c>
      <c r="T216" s="279">
        <v>5.2</v>
      </c>
      <c r="U216" s="279" t="s">
        <v>1481</v>
      </c>
      <c r="V216" s="279" t="s">
        <v>1481</v>
      </c>
      <c r="W216" s="279" t="s">
        <v>473</v>
      </c>
      <c r="X216" s="279" t="s">
        <v>519</v>
      </c>
      <c r="Y216" s="279"/>
      <c r="Z216" s="279"/>
      <c r="AA216" s="279"/>
      <c r="AB216" s="279" t="s">
        <v>19</v>
      </c>
      <c r="AC216" s="279" t="s">
        <v>490</v>
      </c>
      <c r="AD216" s="279" t="s">
        <v>491</v>
      </c>
      <c r="AE216" s="279">
        <v>87996</v>
      </c>
      <c r="AF216" s="279" t="s">
        <v>473</v>
      </c>
      <c r="AG216" s="279"/>
      <c r="AH216" s="279"/>
      <c r="AI216" s="279">
        <v>20240607</v>
      </c>
      <c r="AJ216" s="462" t="s">
        <v>823</v>
      </c>
      <c r="AK216" s="279"/>
      <c r="AL216" s="279" t="str">
        <f>IF(AB216="Y","단종모델",LEFT(N216,3)&amp;IFERROR(VLOOKUP(LEFT(N216,3)&amp;P216,#REF!,2,0),""))</f>
        <v>KIA</v>
      </c>
      <c r="AM216" s="469" t="str">
        <f t="shared" si="343"/>
        <v>EV3 전기 스탠다드 GT-line</v>
      </c>
      <c r="AN216" s="279">
        <f t="shared" si="332"/>
        <v>46660000</v>
      </c>
      <c r="AO216" s="279">
        <f t="shared" si="333"/>
        <v>0</v>
      </c>
      <c r="AP216" s="279" t="str">
        <f t="shared" si="334"/>
        <v>E</v>
      </c>
      <c r="AQ216" s="279">
        <f t="shared" si="335"/>
        <v>5</v>
      </c>
      <c r="AR216" s="279" t="str">
        <f t="shared" si="336"/>
        <v>RV</v>
      </c>
      <c r="AS216" s="279" t="str">
        <f t="shared" si="337"/>
        <v>승용</v>
      </c>
      <c r="AT216" s="279" t="str">
        <f t="shared" si="338"/>
        <v>7급</v>
      </c>
      <c r="AU216" s="279" t="str">
        <f t="shared" si="339"/>
        <v>05:소하리</v>
      </c>
      <c r="AV216" s="279">
        <f t="shared" si="235"/>
        <v>1900</v>
      </c>
      <c r="AW216" s="279" t="str">
        <f t="shared" si="340"/>
        <v>D</v>
      </c>
      <c r="AX216" s="279" t="str">
        <f t="shared" si="341"/>
        <v>전기</v>
      </c>
      <c r="AY216" s="468">
        <v>0.03</v>
      </c>
      <c r="AZ216" s="279"/>
      <c r="BA216" s="279" t="s">
        <v>1685</v>
      </c>
      <c r="BB216" s="279" t="s">
        <v>1558</v>
      </c>
      <c r="BC216" s="279"/>
      <c r="BD216" s="279" t="s">
        <v>1476</v>
      </c>
      <c r="BE216" s="279" t="str">
        <f t="shared" si="331"/>
        <v>기아</v>
      </c>
      <c r="BF216" s="581">
        <v>4.1000000000000002E-2</v>
      </c>
      <c r="BG216" s="281">
        <v>0</v>
      </c>
      <c r="BH216" s="281">
        <v>0</v>
      </c>
      <c r="BI216" s="279"/>
      <c r="BJ216" s="279"/>
      <c r="BK216" s="279"/>
      <c r="BL216" s="279"/>
      <c r="BM216" s="279" t="s">
        <v>1548</v>
      </c>
      <c r="BN216" s="279"/>
      <c r="BO216" s="279"/>
      <c r="BP216" s="500">
        <f t="shared" si="320"/>
        <v>6.5000000000000002E-2</v>
      </c>
      <c r="BQ216" s="973">
        <f t="shared" si="342"/>
        <v>5.8000000000000003E-2</v>
      </c>
    </row>
    <row r="217" spans="1:69" s="460" customFormat="1" ht="15" customHeight="1">
      <c r="A217" s="281">
        <v>206</v>
      </c>
      <c r="B217" s="279">
        <v>464787978</v>
      </c>
      <c r="C217" s="279" t="s">
        <v>521</v>
      </c>
      <c r="D217" s="279" t="s">
        <v>528</v>
      </c>
      <c r="E217" s="279" t="s">
        <v>482</v>
      </c>
      <c r="F217" s="279" t="s">
        <v>474</v>
      </c>
      <c r="G217" s="279">
        <v>46500000</v>
      </c>
      <c r="H217" s="279">
        <v>0</v>
      </c>
      <c r="I217" s="279">
        <v>0</v>
      </c>
      <c r="J217" s="279">
        <v>5</v>
      </c>
      <c r="K217" s="279" t="s">
        <v>560</v>
      </c>
      <c r="L217" s="279">
        <v>0</v>
      </c>
      <c r="M217" s="279" t="s">
        <v>111</v>
      </c>
      <c r="N217" s="279" t="s">
        <v>522</v>
      </c>
      <c r="O217" s="279" t="s">
        <v>1479</v>
      </c>
      <c r="P217" s="279" t="s">
        <v>1483</v>
      </c>
      <c r="Q217" s="279" t="s">
        <v>1482</v>
      </c>
      <c r="R217" s="279"/>
      <c r="S217" s="279">
        <v>0</v>
      </c>
      <c r="T217" s="279">
        <v>5.4</v>
      </c>
      <c r="U217" s="279" t="s">
        <v>553</v>
      </c>
      <c r="V217" s="279" t="s">
        <v>553</v>
      </c>
      <c r="W217" s="279" t="s">
        <v>473</v>
      </c>
      <c r="X217" s="279" t="s">
        <v>519</v>
      </c>
      <c r="Y217" s="279"/>
      <c r="Z217" s="279"/>
      <c r="AA217" s="279"/>
      <c r="AB217" s="279" t="s">
        <v>19</v>
      </c>
      <c r="AC217" s="279" t="s">
        <v>490</v>
      </c>
      <c r="AD217" s="279" t="s">
        <v>491</v>
      </c>
      <c r="AE217" s="279">
        <v>87978</v>
      </c>
      <c r="AF217" s="279" t="s">
        <v>473</v>
      </c>
      <c r="AG217" s="279"/>
      <c r="AH217" s="279"/>
      <c r="AI217" s="279">
        <v>20240607</v>
      </c>
      <c r="AJ217" s="462" t="s">
        <v>823</v>
      </c>
      <c r="AK217" s="279"/>
      <c r="AL217" s="279" t="str">
        <f>IF(AB217="Y","단종모델",LEFT(N217,3)&amp;IFERROR(VLOOKUP(LEFT(N217,3)&amp;P217,#REF!,2,0),""))</f>
        <v>KIA</v>
      </c>
      <c r="AM217" s="469" t="str">
        <f t="shared" si="343"/>
        <v xml:space="preserve">EV3 전기 롱레인지 </v>
      </c>
      <c r="AN217" s="279">
        <f t="shared" si="332"/>
        <v>46500000</v>
      </c>
      <c r="AO217" s="279">
        <f t="shared" si="333"/>
        <v>0</v>
      </c>
      <c r="AP217" s="279" t="str">
        <f t="shared" si="334"/>
        <v>E</v>
      </c>
      <c r="AQ217" s="279">
        <f t="shared" si="335"/>
        <v>5</v>
      </c>
      <c r="AR217" s="279" t="str">
        <f t="shared" si="336"/>
        <v>RV</v>
      </c>
      <c r="AS217" s="279" t="str">
        <f t="shared" si="337"/>
        <v>승용</v>
      </c>
      <c r="AT217" s="279" t="str">
        <f t="shared" si="338"/>
        <v>7급</v>
      </c>
      <c r="AU217" s="279" t="str">
        <f t="shared" si="339"/>
        <v>05:소하리</v>
      </c>
      <c r="AV217" s="279">
        <f t="shared" si="235"/>
        <v>1900</v>
      </c>
      <c r="AW217" s="279" t="str">
        <f t="shared" si="340"/>
        <v>D</v>
      </c>
      <c r="AX217" s="279" t="str">
        <f t="shared" si="341"/>
        <v>전기</v>
      </c>
      <c r="AY217" s="468">
        <v>0.03</v>
      </c>
      <c r="AZ217" s="279"/>
      <c r="BA217" s="279" t="s">
        <v>1685</v>
      </c>
      <c r="BB217" s="279" t="s">
        <v>813</v>
      </c>
      <c r="BC217" s="279"/>
      <c r="BD217" s="279" t="s">
        <v>1476</v>
      </c>
      <c r="BE217" s="279" t="str">
        <f t="shared" si="331"/>
        <v>기아</v>
      </c>
      <c r="BF217" s="581">
        <v>4.1000000000000002E-2</v>
      </c>
      <c r="BG217" s="281">
        <v>0</v>
      </c>
      <c r="BH217" s="281">
        <v>0</v>
      </c>
      <c r="BI217" s="279"/>
      <c r="BJ217" s="279"/>
      <c r="BK217" s="279"/>
      <c r="BL217" s="279"/>
      <c r="BM217" s="279" t="s">
        <v>1548</v>
      </c>
      <c r="BN217" s="279"/>
      <c r="BO217" s="279"/>
      <c r="BP217" s="500">
        <f t="shared" si="320"/>
        <v>6.5000000000000002E-2</v>
      </c>
      <c r="BQ217" s="973">
        <f t="shared" si="342"/>
        <v>5.8000000000000003E-2</v>
      </c>
    </row>
    <row r="218" spans="1:69" s="460" customFormat="1" ht="15" customHeight="1">
      <c r="A218" s="281">
        <v>207</v>
      </c>
      <c r="B218" s="279">
        <v>464787993</v>
      </c>
      <c r="C218" s="279" t="s">
        <v>521</v>
      </c>
      <c r="D218" s="279" t="s">
        <v>528</v>
      </c>
      <c r="E218" s="279" t="s">
        <v>482</v>
      </c>
      <c r="F218" s="279" t="s">
        <v>474</v>
      </c>
      <c r="G218" s="279">
        <v>51080000</v>
      </c>
      <c r="H218" s="279">
        <v>0</v>
      </c>
      <c r="I218" s="279">
        <v>0</v>
      </c>
      <c r="J218" s="279">
        <v>5</v>
      </c>
      <c r="K218" s="279" t="s">
        <v>560</v>
      </c>
      <c r="L218" s="279">
        <v>0</v>
      </c>
      <c r="M218" s="279" t="s">
        <v>111</v>
      </c>
      <c r="N218" s="279" t="s">
        <v>522</v>
      </c>
      <c r="O218" s="279" t="s">
        <v>1479</v>
      </c>
      <c r="P218" s="279" t="s">
        <v>1483</v>
      </c>
      <c r="Q218" s="279" t="s">
        <v>1485</v>
      </c>
      <c r="R218" s="279" t="s">
        <v>1480</v>
      </c>
      <c r="S218" s="279">
        <v>0</v>
      </c>
      <c r="T218" s="279">
        <v>5.0999999999999996</v>
      </c>
      <c r="U218" s="279" t="s">
        <v>1481</v>
      </c>
      <c r="V218" s="279" t="s">
        <v>1481</v>
      </c>
      <c r="W218" s="279" t="s">
        <v>473</v>
      </c>
      <c r="X218" s="279" t="s">
        <v>519</v>
      </c>
      <c r="Y218" s="279"/>
      <c r="Z218" s="279"/>
      <c r="AA218" s="279"/>
      <c r="AB218" s="279" t="s">
        <v>19</v>
      </c>
      <c r="AC218" s="279" t="s">
        <v>490</v>
      </c>
      <c r="AD218" s="279" t="s">
        <v>491</v>
      </c>
      <c r="AE218" s="279">
        <v>87993</v>
      </c>
      <c r="AF218" s="279" t="s">
        <v>473</v>
      </c>
      <c r="AG218" s="279"/>
      <c r="AH218" s="279"/>
      <c r="AI218" s="279">
        <v>20240607</v>
      </c>
      <c r="AJ218" s="462" t="s">
        <v>823</v>
      </c>
      <c r="AK218" s="279"/>
      <c r="AL218" s="279" t="str">
        <f>IF(AB218="Y","단종모델",LEFT(N218,3)&amp;IFERROR(VLOOKUP(LEFT(N218,3)&amp;P218,#REF!,2,0),""))</f>
        <v>KIA</v>
      </c>
      <c r="AM218" s="469" t="str">
        <f t="shared" si="343"/>
        <v>EV3 전기 롱레인지 GT-line</v>
      </c>
      <c r="AN218" s="279">
        <f t="shared" si="332"/>
        <v>51080000</v>
      </c>
      <c r="AO218" s="279">
        <f t="shared" si="333"/>
        <v>0</v>
      </c>
      <c r="AP218" s="279" t="str">
        <f t="shared" si="334"/>
        <v>E</v>
      </c>
      <c r="AQ218" s="279">
        <f t="shared" si="335"/>
        <v>5</v>
      </c>
      <c r="AR218" s="279" t="str">
        <f t="shared" si="336"/>
        <v>RV</v>
      </c>
      <c r="AS218" s="279" t="str">
        <f t="shared" si="337"/>
        <v>승용</v>
      </c>
      <c r="AT218" s="279" t="str">
        <f t="shared" si="338"/>
        <v>7급</v>
      </c>
      <c r="AU218" s="279" t="str">
        <f t="shared" si="339"/>
        <v>05:소하리</v>
      </c>
      <c r="AV218" s="279">
        <f t="shared" si="235"/>
        <v>1900</v>
      </c>
      <c r="AW218" s="279" t="str">
        <f t="shared" si="340"/>
        <v>D</v>
      </c>
      <c r="AX218" s="279" t="str">
        <f t="shared" si="341"/>
        <v>전기</v>
      </c>
      <c r="AY218" s="468">
        <v>0.03</v>
      </c>
      <c r="AZ218" s="279"/>
      <c r="BA218" s="279" t="s">
        <v>1685</v>
      </c>
      <c r="BB218" s="279" t="s">
        <v>1558</v>
      </c>
      <c r="BC218" s="279"/>
      <c r="BD218" s="279" t="s">
        <v>1476</v>
      </c>
      <c r="BE218" s="279" t="str">
        <f t="shared" si="331"/>
        <v>기아</v>
      </c>
      <c r="BF218" s="581">
        <v>4.1000000000000002E-2</v>
      </c>
      <c r="BG218" s="281">
        <v>0</v>
      </c>
      <c r="BH218" s="281">
        <v>0</v>
      </c>
      <c r="BI218" s="279"/>
      <c r="BJ218" s="279"/>
      <c r="BK218" s="279"/>
      <c r="BL218" s="279"/>
      <c r="BM218" s="279" t="s">
        <v>1548</v>
      </c>
      <c r="BN218" s="279"/>
      <c r="BO218" s="279"/>
      <c r="BP218" s="500">
        <f t="shared" si="320"/>
        <v>6.5000000000000002E-2</v>
      </c>
      <c r="BQ218" s="973">
        <f t="shared" si="342"/>
        <v>5.8000000000000003E-2</v>
      </c>
    </row>
    <row r="219" spans="1:69" s="460" customFormat="1" ht="15" customHeight="1">
      <c r="A219" s="281">
        <v>208</v>
      </c>
      <c r="B219" s="279">
        <v>464187910</v>
      </c>
      <c r="C219" s="279" t="s">
        <v>521</v>
      </c>
      <c r="D219" s="279" t="s">
        <v>528</v>
      </c>
      <c r="E219" s="279" t="s">
        <v>482</v>
      </c>
      <c r="F219" s="279" t="s">
        <v>474</v>
      </c>
      <c r="G219" s="279">
        <v>62520000</v>
      </c>
      <c r="H219" s="279">
        <v>0</v>
      </c>
      <c r="I219" s="279">
        <v>0</v>
      </c>
      <c r="J219" s="279">
        <v>5</v>
      </c>
      <c r="K219" s="279" t="s">
        <v>560</v>
      </c>
      <c r="L219" s="279">
        <v>0</v>
      </c>
      <c r="M219" s="279" t="s">
        <v>111</v>
      </c>
      <c r="N219" s="279" t="s">
        <v>522</v>
      </c>
      <c r="O219" s="279" t="s">
        <v>1490</v>
      </c>
      <c r="P219" s="279" t="s">
        <v>1494</v>
      </c>
      <c r="Q219" s="279" t="s">
        <v>1485</v>
      </c>
      <c r="R219" s="279" t="s">
        <v>1430</v>
      </c>
      <c r="S219" s="279">
        <v>0</v>
      </c>
      <c r="T219" s="279">
        <v>5.2</v>
      </c>
      <c r="U219" s="279" t="s">
        <v>504</v>
      </c>
      <c r="V219" s="279" t="s">
        <v>504</v>
      </c>
      <c r="W219" s="279" t="s">
        <v>473</v>
      </c>
      <c r="X219" s="279" t="s">
        <v>519</v>
      </c>
      <c r="Y219" s="279"/>
      <c r="Z219" s="279"/>
      <c r="AA219" s="279"/>
      <c r="AB219" s="279" t="s">
        <v>20</v>
      </c>
      <c r="AC219" s="279" t="s">
        <v>490</v>
      </c>
      <c r="AD219" s="279" t="s">
        <v>491</v>
      </c>
      <c r="AE219" s="279">
        <v>87910</v>
      </c>
      <c r="AF219" s="279" t="s">
        <v>473</v>
      </c>
      <c r="AG219" s="279"/>
      <c r="AH219" s="279"/>
      <c r="AI219" s="279">
        <v>20240607</v>
      </c>
      <c r="AJ219" s="462" t="s">
        <v>823</v>
      </c>
      <c r="AK219" s="279"/>
      <c r="AL219" s="279" t="str">
        <f>IF(AB219="Y","단종모델",LEFT(N219,3)&amp;IFERROR(VLOOKUP(LEFT(N219,3)&amp;P219,#REF!,2,0),""))</f>
        <v>KIA</v>
      </c>
      <c r="AM219" s="469" t="str">
        <f t="shared" si="343"/>
        <v>더 뉴 EV6 전기 롱레인지 2WD</v>
      </c>
      <c r="AN219" s="279">
        <f t="shared" si="332"/>
        <v>62520000</v>
      </c>
      <c r="AO219" s="279">
        <f t="shared" ref="AO219:AO222" si="344">H219</f>
        <v>0</v>
      </c>
      <c r="AP219" s="279" t="str">
        <f t="shared" ref="AP219:AP222" si="345">LEFT(K219,1)</f>
        <v>E</v>
      </c>
      <c r="AQ219" s="279">
        <f t="shared" ref="AQ219:AQ222" si="346">J219</f>
        <v>5</v>
      </c>
      <c r="AR219" s="279" t="str">
        <f t="shared" ref="AR219:AR222" si="347">RIGHT(D219,2)</f>
        <v>RV</v>
      </c>
      <c r="AS219" s="279" t="str">
        <f t="shared" ref="AS219:AS222" si="348">MID(W219,4,3)</f>
        <v>승용</v>
      </c>
      <c r="AT219" s="279" t="str">
        <f t="shared" ref="AT219:AT222" si="349">RIGHT(AC219,2)</f>
        <v>7급</v>
      </c>
      <c r="AU219" s="279" t="str">
        <f t="shared" ref="AU219:AU222" si="350">AB219</f>
        <v>06:화성</v>
      </c>
      <c r="AV219" s="279">
        <f t="shared" ref="AV219:AV253" si="351">IF(AND(BE219="기아",AQ219&lt;7),1900,IF(AND(BE219="기아",AQ219&gt;6,AQ219&lt;11),2500,IF(AND(BE219="기아",AQ219&gt;10),3500,IF(AND(BE219="KG모빌리티",AQ219&lt;7),3650,IF(AND(BE219="KG모빌리티",AQ219&gt;6),4300,0)))))</f>
        <v>1900</v>
      </c>
      <c r="AW219" s="279" t="str">
        <f t="shared" ref="AW219:AW222" si="352">LEFT(F219,1)</f>
        <v>D</v>
      </c>
      <c r="AX219" s="279" t="str">
        <f t="shared" ref="AX219:AX222" si="353">AJ219</f>
        <v>전기</v>
      </c>
      <c r="AY219" s="468">
        <v>2.5000000000000001E-2</v>
      </c>
      <c r="AZ219" s="279"/>
      <c r="BA219" s="279" t="s">
        <v>1699</v>
      </c>
      <c r="BB219" s="279" t="s">
        <v>1557</v>
      </c>
      <c r="BC219" s="279"/>
      <c r="BD219" s="279" t="s">
        <v>1476</v>
      </c>
      <c r="BE219" s="279" t="str">
        <f t="shared" si="331"/>
        <v>기아</v>
      </c>
      <c r="BF219" s="581">
        <v>4.1000000000000002E-2</v>
      </c>
      <c r="BG219" s="281">
        <v>0</v>
      </c>
      <c r="BH219" s="281">
        <v>0</v>
      </c>
      <c r="BI219" s="279"/>
      <c r="BJ219" s="279"/>
      <c r="BK219" s="279"/>
      <c r="BL219" s="279"/>
      <c r="BM219" s="279" t="s">
        <v>1548</v>
      </c>
      <c r="BN219" s="279"/>
      <c r="BO219" s="279"/>
      <c r="BP219" s="500">
        <f t="shared" si="320"/>
        <v>6.5000000000000002E-2</v>
      </c>
      <c r="BQ219" s="973">
        <f t="shared" si="342"/>
        <v>5.8000000000000003E-2</v>
      </c>
    </row>
    <row r="220" spans="1:69" s="460" customFormat="1" ht="15" customHeight="1">
      <c r="A220" s="281">
        <v>209</v>
      </c>
      <c r="B220" s="279">
        <v>464187914</v>
      </c>
      <c r="C220" s="279" t="s">
        <v>521</v>
      </c>
      <c r="D220" s="279" t="s">
        <v>528</v>
      </c>
      <c r="E220" s="279" t="s">
        <v>482</v>
      </c>
      <c r="F220" s="279" t="s">
        <v>474</v>
      </c>
      <c r="G220" s="279">
        <v>64990000</v>
      </c>
      <c r="H220" s="279">
        <v>0</v>
      </c>
      <c r="I220" s="279">
        <v>0</v>
      </c>
      <c r="J220" s="279">
        <v>5</v>
      </c>
      <c r="K220" s="279" t="s">
        <v>560</v>
      </c>
      <c r="L220" s="279">
        <v>0</v>
      </c>
      <c r="M220" s="279" t="s">
        <v>111</v>
      </c>
      <c r="N220" s="279" t="s">
        <v>522</v>
      </c>
      <c r="O220" s="279" t="s">
        <v>1490</v>
      </c>
      <c r="P220" s="279" t="s">
        <v>1494</v>
      </c>
      <c r="Q220" s="279" t="s">
        <v>1485</v>
      </c>
      <c r="R220" s="279" t="s">
        <v>1491</v>
      </c>
      <c r="S220" s="279">
        <v>0</v>
      </c>
      <c r="T220" s="279">
        <v>4.9000000000000004</v>
      </c>
      <c r="U220" s="279" t="s">
        <v>504</v>
      </c>
      <c r="V220" s="279" t="s">
        <v>504</v>
      </c>
      <c r="W220" s="279" t="s">
        <v>473</v>
      </c>
      <c r="X220" s="279" t="s">
        <v>519</v>
      </c>
      <c r="Y220" s="279"/>
      <c r="Z220" s="279"/>
      <c r="AA220" s="279"/>
      <c r="AB220" s="279" t="s">
        <v>20</v>
      </c>
      <c r="AC220" s="279" t="s">
        <v>490</v>
      </c>
      <c r="AD220" s="279" t="s">
        <v>491</v>
      </c>
      <c r="AE220" s="279">
        <v>87914</v>
      </c>
      <c r="AF220" s="279" t="s">
        <v>473</v>
      </c>
      <c r="AG220" s="279"/>
      <c r="AH220" s="279"/>
      <c r="AI220" s="279">
        <v>20240607</v>
      </c>
      <c r="AJ220" s="462" t="s">
        <v>823</v>
      </c>
      <c r="AK220" s="279"/>
      <c r="AL220" s="279" t="str">
        <f>IF(AB220="Y","단종모델",LEFT(N220,3)&amp;IFERROR(VLOOKUP(LEFT(N220,3)&amp;P220,#REF!,2,0),""))</f>
        <v>KIA</v>
      </c>
      <c r="AM220" s="469" t="str">
        <f t="shared" si="343"/>
        <v>더 뉴 EV6 전기 롱레인지 4WD</v>
      </c>
      <c r="AN220" s="279">
        <f t="shared" si="332"/>
        <v>64990000</v>
      </c>
      <c r="AO220" s="279">
        <f t="shared" si="344"/>
        <v>0</v>
      </c>
      <c r="AP220" s="279" t="str">
        <f t="shared" si="345"/>
        <v>E</v>
      </c>
      <c r="AQ220" s="279">
        <f t="shared" si="346"/>
        <v>5</v>
      </c>
      <c r="AR220" s="279" t="str">
        <f t="shared" si="347"/>
        <v>RV</v>
      </c>
      <c r="AS220" s="279" t="str">
        <f t="shared" si="348"/>
        <v>승용</v>
      </c>
      <c r="AT220" s="279" t="str">
        <f t="shared" si="349"/>
        <v>7급</v>
      </c>
      <c r="AU220" s="279" t="str">
        <f t="shared" si="350"/>
        <v>06:화성</v>
      </c>
      <c r="AV220" s="279">
        <f t="shared" si="351"/>
        <v>1900</v>
      </c>
      <c r="AW220" s="279" t="str">
        <f t="shared" si="352"/>
        <v>D</v>
      </c>
      <c r="AX220" s="279" t="str">
        <f t="shared" si="353"/>
        <v>전기</v>
      </c>
      <c r="AY220" s="468">
        <v>2.5000000000000001E-2</v>
      </c>
      <c r="AZ220" s="1133"/>
      <c r="BA220" s="279" t="s">
        <v>1699</v>
      </c>
      <c r="BB220" s="279" t="s">
        <v>1557</v>
      </c>
      <c r="BC220" s="279"/>
      <c r="BD220" s="279" t="s">
        <v>1476</v>
      </c>
      <c r="BE220" s="279" t="str">
        <f t="shared" si="331"/>
        <v>기아</v>
      </c>
      <c r="BF220" s="581">
        <v>4.1000000000000002E-2</v>
      </c>
      <c r="BG220" s="281">
        <v>0</v>
      </c>
      <c r="BH220" s="281">
        <v>0</v>
      </c>
      <c r="BI220" s="279"/>
      <c r="BJ220" s="279"/>
      <c r="BK220" s="279"/>
      <c r="BL220" s="279"/>
      <c r="BM220" s="279" t="s">
        <v>1548</v>
      </c>
      <c r="BN220" s="279"/>
      <c r="BO220" s="279"/>
      <c r="BP220" s="500">
        <f t="shared" si="320"/>
        <v>6.5000000000000002E-2</v>
      </c>
      <c r="BQ220" s="973">
        <f t="shared" si="321"/>
        <v>5.8000000000000003E-2</v>
      </c>
    </row>
    <row r="221" spans="1:69" s="460" customFormat="1" ht="15" customHeight="1">
      <c r="A221" s="281">
        <v>210</v>
      </c>
      <c r="B221" s="279">
        <v>464187911</v>
      </c>
      <c r="C221" s="279" t="s">
        <v>521</v>
      </c>
      <c r="D221" s="279" t="s">
        <v>528</v>
      </c>
      <c r="E221" s="279" t="s">
        <v>482</v>
      </c>
      <c r="F221" s="279" t="s">
        <v>474</v>
      </c>
      <c r="G221" s="279">
        <v>63150000</v>
      </c>
      <c r="H221" s="279">
        <v>0</v>
      </c>
      <c r="I221" s="279">
        <v>0</v>
      </c>
      <c r="J221" s="279">
        <v>5</v>
      </c>
      <c r="K221" s="279" t="s">
        <v>560</v>
      </c>
      <c r="L221" s="279">
        <v>0</v>
      </c>
      <c r="M221" s="279" t="s">
        <v>111</v>
      </c>
      <c r="N221" s="279" t="s">
        <v>522</v>
      </c>
      <c r="O221" s="279" t="s">
        <v>1490</v>
      </c>
      <c r="P221" s="279" t="s">
        <v>1494</v>
      </c>
      <c r="Q221" s="279" t="s">
        <v>1485</v>
      </c>
      <c r="R221" s="279" t="s">
        <v>1492</v>
      </c>
      <c r="S221" s="279">
        <v>0</v>
      </c>
      <c r="T221" s="279">
        <v>5.2</v>
      </c>
      <c r="U221" s="279" t="s">
        <v>504</v>
      </c>
      <c r="V221" s="279" t="s">
        <v>504</v>
      </c>
      <c r="W221" s="279" t="s">
        <v>473</v>
      </c>
      <c r="X221" s="279" t="s">
        <v>519</v>
      </c>
      <c r="Y221" s="279"/>
      <c r="Z221" s="279"/>
      <c r="AA221" s="279"/>
      <c r="AB221" s="279" t="s">
        <v>20</v>
      </c>
      <c r="AC221" s="279" t="s">
        <v>490</v>
      </c>
      <c r="AD221" s="279" t="s">
        <v>491</v>
      </c>
      <c r="AE221" s="279">
        <v>87911</v>
      </c>
      <c r="AF221" s="279" t="s">
        <v>473</v>
      </c>
      <c r="AG221" s="279"/>
      <c r="AH221" s="279"/>
      <c r="AI221" s="279">
        <v>20240607</v>
      </c>
      <c r="AJ221" s="462" t="s">
        <v>823</v>
      </c>
      <c r="AK221" s="279"/>
      <c r="AL221" s="279" t="str">
        <f>IF(AB221="Y","단종모델",LEFT(N221,3)&amp;IFERROR(VLOOKUP(LEFT(N221,3)&amp;P221,#REF!,2,0),""))</f>
        <v>KIA</v>
      </c>
      <c r="AM221" s="469" t="str">
        <f t="shared" si="343"/>
        <v>더 뉴 EV6 전기 롱레인지 GT-line 2WD</v>
      </c>
      <c r="AN221" s="279">
        <f t="shared" si="332"/>
        <v>63150000</v>
      </c>
      <c r="AO221" s="279">
        <f t="shared" si="344"/>
        <v>0</v>
      </c>
      <c r="AP221" s="279" t="str">
        <f t="shared" si="345"/>
        <v>E</v>
      </c>
      <c r="AQ221" s="279">
        <f t="shared" si="346"/>
        <v>5</v>
      </c>
      <c r="AR221" s="279" t="str">
        <f t="shared" si="347"/>
        <v>RV</v>
      </c>
      <c r="AS221" s="279" t="str">
        <f t="shared" si="348"/>
        <v>승용</v>
      </c>
      <c r="AT221" s="279" t="str">
        <f t="shared" si="349"/>
        <v>7급</v>
      </c>
      <c r="AU221" s="279" t="str">
        <f t="shared" si="350"/>
        <v>06:화성</v>
      </c>
      <c r="AV221" s="279">
        <f t="shared" si="351"/>
        <v>1900</v>
      </c>
      <c r="AW221" s="279" t="str">
        <f t="shared" si="352"/>
        <v>D</v>
      </c>
      <c r="AX221" s="279" t="str">
        <f t="shared" si="353"/>
        <v>전기</v>
      </c>
      <c r="AY221" s="468">
        <v>0.02</v>
      </c>
      <c r="AZ221" s="1133"/>
      <c r="BA221" s="279" t="s">
        <v>1700</v>
      </c>
      <c r="BB221" s="279" t="s">
        <v>826</v>
      </c>
      <c r="BC221" s="279"/>
      <c r="BD221" s="279" t="s">
        <v>1476</v>
      </c>
      <c r="BE221" s="279" t="str">
        <f t="shared" si="331"/>
        <v>기아</v>
      </c>
      <c r="BF221" s="581">
        <v>4.1000000000000002E-2</v>
      </c>
      <c r="BG221" s="281">
        <v>0</v>
      </c>
      <c r="BH221" s="281">
        <v>0</v>
      </c>
      <c r="BI221" s="279"/>
      <c r="BJ221" s="279"/>
      <c r="BK221" s="279"/>
      <c r="BL221" s="279"/>
      <c r="BM221" s="279" t="s">
        <v>1548</v>
      </c>
      <c r="BN221" s="279"/>
      <c r="BO221" s="279"/>
      <c r="BP221" s="500">
        <f t="shared" si="320"/>
        <v>6.5000000000000002E-2</v>
      </c>
      <c r="BQ221" s="973">
        <f t="shared" si="321"/>
        <v>5.8000000000000003E-2</v>
      </c>
    </row>
    <row r="222" spans="1:69" s="460" customFormat="1" ht="15" customHeight="1">
      <c r="A222" s="281">
        <v>211</v>
      </c>
      <c r="B222" s="279">
        <v>464187915</v>
      </c>
      <c r="C222" s="279" t="s">
        <v>521</v>
      </c>
      <c r="D222" s="279" t="s">
        <v>528</v>
      </c>
      <c r="E222" s="279" t="s">
        <v>482</v>
      </c>
      <c r="F222" s="279" t="s">
        <v>474</v>
      </c>
      <c r="G222" s="279">
        <v>65620000</v>
      </c>
      <c r="H222" s="279">
        <v>0</v>
      </c>
      <c r="I222" s="279">
        <v>0</v>
      </c>
      <c r="J222" s="279">
        <v>5</v>
      </c>
      <c r="K222" s="279" t="s">
        <v>560</v>
      </c>
      <c r="L222" s="279">
        <v>0</v>
      </c>
      <c r="M222" s="279" t="s">
        <v>111</v>
      </c>
      <c r="N222" s="279" t="s">
        <v>522</v>
      </c>
      <c r="O222" s="279" t="s">
        <v>1490</v>
      </c>
      <c r="P222" s="279" t="s">
        <v>1494</v>
      </c>
      <c r="Q222" s="279" t="s">
        <v>1485</v>
      </c>
      <c r="R222" s="279" t="s">
        <v>1493</v>
      </c>
      <c r="S222" s="279">
        <v>0</v>
      </c>
      <c r="T222" s="279">
        <v>4.9000000000000004</v>
      </c>
      <c r="U222" s="279" t="s">
        <v>504</v>
      </c>
      <c r="V222" s="279" t="s">
        <v>504</v>
      </c>
      <c r="W222" s="279" t="s">
        <v>473</v>
      </c>
      <c r="X222" s="279" t="s">
        <v>519</v>
      </c>
      <c r="Y222" s="279"/>
      <c r="Z222" s="279"/>
      <c r="AA222" s="279"/>
      <c r="AB222" s="279" t="s">
        <v>20</v>
      </c>
      <c r="AC222" s="279" t="s">
        <v>490</v>
      </c>
      <c r="AD222" s="279" t="s">
        <v>491</v>
      </c>
      <c r="AE222" s="279">
        <v>87915</v>
      </c>
      <c r="AF222" s="279" t="s">
        <v>473</v>
      </c>
      <c r="AG222" s="279"/>
      <c r="AH222" s="279"/>
      <c r="AI222" s="279">
        <v>20240607</v>
      </c>
      <c r="AJ222" s="462" t="s">
        <v>823</v>
      </c>
      <c r="AK222" s="279"/>
      <c r="AL222" s="279" t="str">
        <f>IF(AB222="Y","단종모델",LEFT(N222,3)&amp;IFERROR(VLOOKUP(LEFT(N222,3)&amp;P222,#REF!,2,0),""))</f>
        <v>KIA</v>
      </c>
      <c r="AM222" s="469" t="str">
        <f t="shared" si="343"/>
        <v>더 뉴 EV6 전기 롱레인지 GT-line 4WD</v>
      </c>
      <c r="AN222" s="279">
        <f t="shared" si="332"/>
        <v>65620000</v>
      </c>
      <c r="AO222" s="279">
        <f t="shared" si="344"/>
        <v>0</v>
      </c>
      <c r="AP222" s="279" t="str">
        <f t="shared" si="345"/>
        <v>E</v>
      </c>
      <c r="AQ222" s="279">
        <f t="shared" si="346"/>
        <v>5</v>
      </c>
      <c r="AR222" s="279" t="str">
        <f t="shared" si="347"/>
        <v>RV</v>
      </c>
      <c r="AS222" s="279" t="str">
        <f t="shared" si="348"/>
        <v>승용</v>
      </c>
      <c r="AT222" s="279" t="str">
        <f t="shared" si="349"/>
        <v>7급</v>
      </c>
      <c r="AU222" s="279" t="str">
        <f t="shared" si="350"/>
        <v>06:화성</v>
      </c>
      <c r="AV222" s="279">
        <f t="shared" si="351"/>
        <v>1900</v>
      </c>
      <c r="AW222" s="279" t="str">
        <f t="shared" si="352"/>
        <v>D</v>
      </c>
      <c r="AX222" s="279" t="str">
        <f t="shared" si="353"/>
        <v>전기</v>
      </c>
      <c r="AY222" s="468">
        <v>0.02</v>
      </c>
      <c r="AZ222" s="468"/>
      <c r="BA222" s="279" t="s">
        <v>1700</v>
      </c>
      <c r="BB222" s="279" t="s">
        <v>826</v>
      </c>
      <c r="BC222" s="279"/>
      <c r="BD222" s="279" t="s">
        <v>1476</v>
      </c>
      <c r="BE222" s="279" t="str">
        <f t="shared" si="331"/>
        <v>기아</v>
      </c>
      <c r="BF222" s="581">
        <v>4.1000000000000002E-2</v>
      </c>
      <c r="BG222" s="281">
        <v>0</v>
      </c>
      <c r="BH222" s="281">
        <v>0</v>
      </c>
      <c r="BI222" s="279"/>
      <c r="BJ222" s="279"/>
      <c r="BK222" s="279"/>
      <c r="BL222" s="279"/>
      <c r="BM222" s="279" t="s">
        <v>1548</v>
      </c>
      <c r="BN222" s="279"/>
      <c r="BO222" s="279"/>
      <c r="BP222" s="500">
        <f t="shared" si="320"/>
        <v>6.5000000000000002E-2</v>
      </c>
      <c r="BQ222" s="973">
        <f t="shared" ref="BQ222" si="354">BP222-0.007</f>
        <v>5.8000000000000003E-2</v>
      </c>
    </row>
    <row r="223" spans="1:69" s="460" customFormat="1" ht="15" customHeight="1">
      <c r="A223" s="281">
        <v>212</v>
      </c>
      <c r="B223" s="279">
        <v>412882026</v>
      </c>
      <c r="C223" s="279" t="s">
        <v>521</v>
      </c>
      <c r="D223" s="279" t="s">
        <v>528</v>
      </c>
      <c r="E223" s="279" t="s">
        <v>482</v>
      </c>
      <c r="F223" s="279" t="s">
        <v>474</v>
      </c>
      <c r="G223" s="279">
        <v>78640000</v>
      </c>
      <c r="H223" s="279">
        <v>0</v>
      </c>
      <c r="I223" s="279">
        <v>0</v>
      </c>
      <c r="J223" s="279">
        <v>0</v>
      </c>
      <c r="K223" s="279" t="s">
        <v>560</v>
      </c>
      <c r="L223" s="279">
        <v>0</v>
      </c>
      <c r="M223" s="279" t="s">
        <v>111</v>
      </c>
      <c r="N223" s="279" t="s">
        <v>522</v>
      </c>
      <c r="O223" s="279" t="s">
        <v>996</v>
      </c>
      <c r="P223" s="279" t="s">
        <v>996</v>
      </c>
      <c r="Q223" s="279" t="s">
        <v>1043</v>
      </c>
      <c r="R223" s="279" t="s">
        <v>997</v>
      </c>
      <c r="S223" s="279">
        <v>0</v>
      </c>
      <c r="T223" s="279">
        <v>4.2</v>
      </c>
      <c r="U223" s="279" t="s">
        <v>998</v>
      </c>
      <c r="V223" s="279" t="s">
        <v>998</v>
      </c>
      <c r="W223" s="279" t="s">
        <v>473</v>
      </c>
      <c r="X223" s="279" t="s">
        <v>519</v>
      </c>
      <c r="Y223" s="279"/>
      <c r="Z223" s="279"/>
      <c r="AA223" s="279"/>
      <c r="AB223" s="279" t="s">
        <v>19</v>
      </c>
      <c r="AC223" s="279" t="s">
        <v>490</v>
      </c>
      <c r="AD223" s="279" t="s">
        <v>491</v>
      </c>
      <c r="AE223" s="279">
        <v>82026</v>
      </c>
      <c r="AF223" s="279" t="s">
        <v>473</v>
      </c>
      <c r="AG223" s="279"/>
      <c r="AH223" s="279"/>
      <c r="AI223" s="279">
        <v>20230509</v>
      </c>
      <c r="AJ223" s="462" t="s">
        <v>1155</v>
      </c>
      <c r="AK223" s="279"/>
      <c r="AL223" s="279" t="str">
        <f>IF(AB223="Y","단종모델",LEFT(N223,3)&amp;IFERROR(VLOOKUP(LEFT(N223,3)&amp;P223,#REF!,2,0),""))</f>
        <v>KIA</v>
      </c>
      <c r="AM223" s="469" t="str">
        <f t="shared" si="343"/>
        <v>EV9 전기 2WD 에어 (6인승)</v>
      </c>
      <c r="AN223" s="279">
        <f t="shared" si="332"/>
        <v>78640000</v>
      </c>
      <c r="AO223" s="279">
        <f t="shared" si="312"/>
        <v>0</v>
      </c>
      <c r="AP223" s="279" t="str">
        <f t="shared" si="313"/>
        <v>E</v>
      </c>
      <c r="AQ223" s="279">
        <f t="shared" si="314"/>
        <v>0</v>
      </c>
      <c r="AR223" s="279" t="str">
        <f t="shared" si="315"/>
        <v>RV</v>
      </c>
      <c r="AS223" s="279" t="str">
        <f t="shared" si="316"/>
        <v>승용</v>
      </c>
      <c r="AT223" s="279" t="str">
        <f t="shared" si="317"/>
        <v>7급</v>
      </c>
      <c r="AU223" s="279" t="str">
        <f t="shared" si="318"/>
        <v>05:소하리</v>
      </c>
      <c r="AV223" s="279">
        <f t="shared" si="351"/>
        <v>1900</v>
      </c>
      <c r="AW223" s="279" t="str">
        <f t="shared" si="319"/>
        <v>D</v>
      </c>
      <c r="AX223" s="279" t="str">
        <f t="shared" si="245"/>
        <v>전기</v>
      </c>
      <c r="AY223" s="468">
        <v>7.0000000000000007E-2</v>
      </c>
      <c r="AZ223" s="468"/>
      <c r="BA223" s="279" t="s">
        <v>1697</v>
      </c>
      <c r="BB223" s="279" t="s">
        <v>1292</v>
      </c>
      <c r="BC223" s="279"/>
      <c r="BD223" s="279" t="s">
        <v>1476</v>
      </c>
      <c r="BE223" s="279" t="str">
        <f t="shared" si="331"/>
        <v>기아</v>
      </c>
      <c r="BF223" s="581">
        <v>4.1000000000000002E-2</v>
      </c>
      <c r="BG223" s="281">
        <v>0</v>
      </c>
      <c r="BH223" s="281">
        <v>0</v>
      </c>
      <c r="BI223" s="279"/>
      <c r="BJ223" s="279"/>
      <c r="BK223" s="279"/>
      <c r="BL223" s="279"/>
      <c r="BM223" s="279" t="s">
        <v>1548</v>
      </c>
      <c r="BN223" s="279"/>
      <c r="BO223" s="279"/>
      <c r="BP223" s="500">
        <f t="shared" si="320"/>
        <v>6.5000000000000002E-2</v>
      </c>
      <c r="BQ223" s="973">
        <f t="shared" si="321"/>
        <v>5.8000000000000003E-2</v>
      </c>
    </row>
    <row r="224" spans="1:69" s="460" customFormat="1" ht="15" customHeight="1">
      <c r="A224" s="281">
        <v>213</v>
      </c>
      <c r="B224" s="279">
        <v>412882096</v>
      </c>
      <c r="C224" s="279" t="s">
        <v>521</v>
      </c>
      <c r="D224" s="279" t="s">
        <v>528</v>
      </c>
      <c r="E224" s="279" t="s">
        <v>482</v>
      </c>
      <c r="F224" s="279" t="s">
        <v>474</v>
      </c>
      <c r="G224" s="279">
        <v>83740000</v>
      </c>
      <c r="H224" s="279">
        <v>0</v>
      </c>
      <c r="I224" s="279">
        <v>0</v>
      </c>
      <c r="J224" s="279">
        <v>0</v>
      </c>
      <c r="K224" s="279" t="s">
        <v>560</v>
      </c>
      <c r="L224" s="279">
        <v>0</v>
      </c>
      <c r="M224" s="279" t="s">
        <v>111</v>
      </c>
      <c r="N224" s="279" t="s">
        <v>522</v>
      </c>
      <c r="O224" s="279" t="s">
        <v>996</v>
      </c>
      <c r="P224" s="279" t="s">
        <v>996</v>
      </c>
      <c r="Q224" s="279" t="s">
        <v>1043</v>
      </c>
      <c r="R224" s="279" t="s">
        <v>999</v>
      </c>
      <c r="S224" s="279">
        <v>0</v>
      </c>
      <c r="T224" s="279">
        <v>4.2</v>
      </c>
      <c r="U224" s="279" t="s">
        <v>998</v>
      </c>
      <c r="V224" s="279" t="s">
        <v>998</v>
      </c>
      <c r="W224" s="279" t="s">
        <v>473</v>
      </c>
      <c r="X224" s="279" t="s">
        <v>519</v>
      </c>
      <c r="Y224" s="279"/>
      <c r="Z224" s="279"/>
      <c r="AA224" s="279"/>
      <c r="AB224" s="279" t="s">
        <v>19</v>
      </c>
      <c r="AC224" s="279" t="s">
        <v>490</v>
      </c>
      <c r="AD224" s="279" t="s">
        <v>491</v>
      </c>
      <c r="AE224" s="279">
        <v>82096</v>
      </c>
      <c r="AF224" s="279" t="s">
        <v>473</v>
      </c>
      <c r="AG224" s="279"/>
      <c r="AH224" s="279"/>
      <c r="AI224" s="279">
        <v>20230509</v>
      </c>
      <c r="AJ224" s="462" t="s">
        <v>1155</v>
      </c>
      <c r="AK224" s="279"/>
      <c r="AL224" s="279" t="str">
        <f>IF(AB224="Y","단종모델",LEFT(N224,3)&amp;IFERROR(VLOOKUP(LEFT(N224,3)&amp;P224,#REF!,2,0),""))</f>
        <v>KIA</v>
      </c>
      <c r="AM224" s="469" t="str">
        <f t="shared" si="246"/>
        <v>EV9 전기 2WD 어스 (6인승)</v>
      </c>
      <c r="AN224" s="279">
        <f t="shared" si="332"/>
        <v>83740000</v>
      </c>
      <c r="AO224" s="279">
        <f t="shared" si="312"/>
        <v>0</v>
      </c>
      <c r="AP224" s="279" t="str">
        <f t="shared" si="313"/>
        <v>E</v>
      </c>
      <c r="AQ224" s="279">
        <f t="shared" si="314"/>
        <v>0</v>
      </c>
      <c r="AR224" s="279" t="str">
        <f t="shared" si="315"/>
        <v>RV</v>
      </c>
      <c r="AS224" s="279" t="str">
        <f t="shared" si="316"/>
        <v>승용</v>
      </c>
      <c r="AT224" s="279" t="str">
        <f t="shared" si="317"/>
        <v>7급</v>
      </c>
      <c r="AU224" s="279" t="str">
        <f t="shared" si="318"/>
        <v>05:소하리</v>
      </c>
      <c r="AV224" s="279">
        <f t="shared" si="351"/>
        <v>1900</v>
      </c>
      <c r="AW224" s="279" t="str">
        <f t="shared" si="319"/>
        <v>D</v>
      </c>
      <c r="AX224" s="279" t="str">
        <f t="shared" si="245"/>
        <v>전기</v>
      </c>
      <c r="AY224" s="468">
        <v>7.0000000000000007E-2</v>
      </c>
      <c r="AZ224" s="468"/>
      <c r="BA224" s="279" t="s">
        <v>1697</v>
      </c>
      <c r="BB224" s="279" t="s">
        <v>1292</v>
      </c>
      <c r="BC224" s="279"/>
      <c r="BD224" s="279" t="s">
        <v>1476</v>
      </c>
      <c r="BE224" s="279" t="str">
        <f t="shared" si="331"/>
        <v>기아</v>
      </c>
      <c r="BF224" s="581">
        <v>4.1000000000000002E-2</v>
      </c>
      <c r="BG224" s="281">
        <v>0</v>
      </c>
      <c r="BH224" s="281">
        <v>0</v>
      </c>
      <c r="BI224" s="279"/>
      <c r="BJ224" s="279"/>
      <c r="BK224" s="279"/>
      <c r="BL224" s="279"/>
      <c r="BM224" s="279" t="s">
        <v>1548</v>
      </c>
      <c r="BN224" s="279"/>
      <c r="BO224" s="279"/>
      <c r="BP224" s="500">
        <f t="shared" si="320"/>
        <v>6.5000000000000002E-2</v>
      </c>
      <c r="BQ224" s="973">
        <f t="shared" si="321"/>
        <v>5.8000000000000003E-2</v>
      </c>
    </row>
    <row r="225" spans="1:69" s="460" customFormat="1" ht="15" customHeight="1">
      <c r="A225" s="281">
        <v>214</v>
      </c>
      <c r="B225" s="279">
        <v>412882646</v>
      </c>
      <c r="C225" s="279" t="s">
        <v>521</v>
      </c>
      <c r="D225" s="279" t="s">
        <v>528</v>
      </c>
      <c r="E225" s="279" t="s">
        <v>482</v>
      </c>
      <c r="F225" s="279" t="s">
        <v>474</v>
      </c>
      <c r="G225" s="279">
        <v>78140000</v>
      </c>
      <c r="H225" s="279">
        <v>0</v>
      </c>
      <c r="I225" s="279">
        <v>0</v>
      </c>
      <c r="J225" s="279">
        <v>7</v>
      </c>
      <c r="K225" s="279" t="s">
        <v>560</v>
      </c>
      <c r="L225" s="279">
        <v>0</v>
      </c>
      <c r="M225" s="279" t="s">
        <v>111</v>
      </c>
      <c r="N225" s="279" t="s">
        <v>522</v>
      </c>
      <c r="O225" s="279" t="s">
        <v>996</v>
      </c>
      <c r="P225" s="279" t="s">
        <v>996</v>
      </c>
      <c r="Q225" s="279" t="s">
        <v>1043</v>
      </c>
      <c r="R225" s="279" t="s">
        <v>1000</v>
      </c>
      <c r="S225" s="279">
        <v>0</v>
      </c>
      <c r="T225" s="279">
        <v>4.2</v>
      </c>
      <c r="U225" s="279" t="s">
        <v>998</v>
      </c>
      <c r="V225" s="279" t="s">
        <v>998</v>
      </c>
      <c r="W225" s="279" t="s">
        <v>507</v>
      </c>
      <c r="X225" s="279" t="s">
        <v>519</v>
      </c>
      <c r="Y225" s="279"/>
      <c r="Z225" s="279"/>
      <c r="AA225" s="279"/>
      <c r="AB225" s="279" t="s">
        <v>19</v>
      </c>
      <c r="AC225" s="279" t="s">
        <v>490</v>
      </c>
      <c r="AD225" s="279" t="s">
        <v>491</v>
      </c>
      <c r="AE225" s="279">
        <v>82646</v>
      </c>
      <c r="AF225" s="279" t="s">
        <v>507</v>
      </c>
      <c r="AG225" s="279"/>
      <c r="AH225" s="279"/>
      <c r="AI225" s="279">
        <v>20230509</v>
      </c>
      <c r="AJ225" s="462" t="s">
        <v>1155</v>
      </c>
      <c r="AK225" s="279"/>
      <c r="AL225" s="279" t="str">
        <f>IF(AB225="Y","단종모델",LEFT(N225,3)&amp;IFERROR(VLOOKUP(LEFT(N225,3)&amp;P225,#REF!,2,0),""))</f>
        <v>KIA</v>
      </c>
      <c r="AM225" s="469" t="str">
        <f t="shared" si="246"/>
        <v>EV9 전기 2WD 에어 (7인승)</v>
      </c>
      <c r="AN225" s="279">
        <f t="shared" si="311"/>
        <v>78140000</v>
      </c>
      <c r="AO225" s="279">
        <f t="shared" si="312"/>
        <v>0</v>
      </c>
      <c r="AP225" s="279" t="str">
        <f t="shared" si="313"/>
        <v>E</v>
      </c>
      <c r="AQ225" s="279">
        <f t="shared" si="314"/>
        <v>7</v>
      </c>
      <c r="AR225" s="279" t="str">
        <f t="shared" si="315"/>
        <v>RV</v>
      </c>
      <c r="AS225" s="279" t="str">
        <f t="shared" si="316"/>
        <v>다인승</v>
      </c>
      <c r="AT225" s="279" t="str">
        <f t="shared" si="317"/>
        <v>7급</v>
      </c>
      <c r="AU225" s="279" t="str">
        <f t="shared" si="318"/>
        <v>05:소하리</v>
      </c>
      <c r="AV225" s="279">
        <f t="shared" si="351"/>
        <v>2500</v>
      </c>
      <c r="AW225" s="279" t="str">
        <f t="shared" si="319"/>
        <v>D</v>
      </c>
      <c r="AX225" s="279" t="str">
        <f t="shared" si="245"/>
        <v>전기</v>
      </c>
      <c r="AY225" s="468">
        <v>7.0000000000000007E-2</v>
      </c>
      <c r="AZ225" s="468"/>
      <c r="BA225" s="279" t="s">
        <v>1697</v>
      </c>
      <c r="BB225" s="279" t="s">
        <v>1292</v>
      </c>
      <c r="BC225" s="279"/>
      <c r="BD225" s="279" t="s">
        <v>1476</v>
      </c>
      <c r="BE225" s="279" t="str">
        <f t="shared" si="331"/>
        <v>기아</v>
      </c>
      <c r="BF225" s="581">
        <v>4.1000000000000002E-2</v>
      </c>
      <c r="BG225" s="281">
        <v>0</v>
      </c>
      <c r="BH225" s="281">
        <v>0</v>
      </c>
      <c r="BI225" s="279"/>
      <c r="BJ225" s="279"/>
      <c r="BK225" s="279"/>
      <c r="BL225" s="279"/>
      <c r="BM225" s="279" t="s">
        <v>1548</v>
      </c>
      <c r="BN225" s="279"/>
      <c r="BO225" s="279"/>
      <c r="BP225" s="500">
        <f t="shared" si="320"/>
        <v>6.5000000000000002E-2</v>
      </c>
      <c r="BQ225" s="973">
        <f t="shared" si="321"/>
        <v>5.8000000000000003E-2</v>
      </c>
    </row>
    <row r="226" spans="1:69" s="460" customFormat="1" ht="15" customHeight="1">
      <c r="A226" s="281">
        <v>215</v>
      </c>
      <c r="B226" s="279">
        <v>412882647</v>
      </c>
      <c r="C226" s="279" t="s">
        <v>521</v>
      </c>
      <c r="D226" s="279" t="s">
        <v>528</v>
      </c>
      <c r="E226" s="279" t="s">
        <v>482</v>
      </c>
      <c r="F226" s="279" t="s">
        <v>474</v>
      </c>
      <c r="G226" s="279">
        <v>83240000</v>
      </c>
      <c r="H226" s="279">
        <v>0</v>
      </c>
      <c r="I226" s="279">
        <v>0</v>
      </c>
      <c r="J226" s="279">
        <v>7</v>
      </c>
      <c r="K226" s="279" t="s">
        <v>560</v>
      </c>
      <c r="L226" s="279">
        <v>0</v>
      </c>
      <c r="M226" s="279" t="s">
        <v>111</v>
      </c>
      <c r="N226" s="279" t="s">
        <v>522</v>
      </c>
      <c r="O226" s="279" t="s">
        <v>996</v>
      </c>
      <c r="P226" s="279" t="s">
        <v>996</v>
      </c>
      <c r="Q226" s="279" t="s">
        <v>1043</v>
      </c>
      <c r="R226" s="279" t="s">
        <v>1001</v>
      </c>
      <c r="S226" s="279">
        <v>0</v>
      </c>
      <c r="T226" s="279">
        <v>4.2</v>
      </c>
      <c r="U226" s="279" t="s">
        <v>998</v>
      </c>
      <c r="V226" s="279" t="s">
        <v>998</v>
      </c>
      <c r="W226" s="279" t="s">
        <v>507</v>
      </c>
      <c r="X226" s="279" t="s">
        <v>519</v>
      </c>
      <c r="Y226" s="279"/>
      <c r="Z226" s="279"/>
      <c r="AA226" s="279"/>
      <c r="AB226" s="279" t="s">
        <v>19</v>
      </c>
      <c r="AC226" s="279" t="s">
        <v>490</v>
      </c>
      <c r="AD226" s="279" t="s">
        <v>491</v>
      </c>
      <c r="AE226" s="279">
        <v>82647</v>
      </c>
      <c r="AF226" s="279" t="s">
        <v>507</v>
      </c>
      <c r="AG226" s="279"/>
      <c r="AH226" s="279"/>
      <c r="AI226" s="279">
        <v>20230509</v>
      </c>
      <c r="AJ226" s="462" t="s">
        <v>1155</v>
      </c>
      <c r="AK226" s="279"/>
      <c r="AL226" s="279" t="str">
        <f>IF(AB226="Y","단종모델",LEFT(N226,3)&amp;IFERROR(VLOOKUP(LEFT(N226,3)&amp;P226,#REF!,2,0),""))</f>
        <v>KIA</v>
      </c>
      <c r="AM226" s="469" t="str">
        <f t="shared" si="246"/>
        <v>EV9 전기 2WD 어스 (7인승)</v>
      </c>
      <c r="AN226" s="279">
        <f t="shared" si="311"/>
        <v>83240000</v>
      </c>
      <c r="AO226" s="279">
        <f t="shared" si="312"/>
        <v>0</v>
      </c>
      <c r="AP226" s="279" t="str">
        <f t="shared" si="313"/>
        <v>E</v>
      </c>
      <c r="AQ226" s="279">
        <f t="shared" si="314"/>
        <v>7</v>
      </c>
      <c r="AR226" s="279" t="str">
        <f t="shared" si="315"/>
        <v>RV</v>
      </c>
      <c r="AS226" s="279" t="str">
        <f t="shared" si="316"/>
        <v>다인승</v>
      </c>
      <c r="AT226" s="279" t="str">
        <f t="shared" si="317"/>
        <v>7급</v>
      </c>
      <c r="AU226" s="279" t="str">
        <f t="shared" si="318"/>
        <v>05:소하리</v>
      </c>
      <c r="AV226" s="279">
        <f t="shared" si="351"/>
        <v>2500</v>
      </c>
      <c r="AW226" s="279" t="str">
        <f t="shared" si="319"/>
        <v>D</v>
      </c>
      <c r="AX226" s="279" t="str">
        <f t="shared" si="245"/>
        <v>전기</v>
      </c>
      <c r="AY226" s="468">
        <v>7.0000000000000007E-2</v>
      </c>
      <c r="AZ226" s="468"/>
      <c r="BA226" s="279" t="s">
        <v>1697</v>
      </c>
      <c r="BB226" s="279" t="s">
        <v>1292</v>
      </c>
      <c r="BC226" s="279"/>
      <c r="BD226" s="279" t="s">
        <v>1476</v>
      </c>
      <c r="BE226" s="279" t="str">
        <f t="shared" si="331"/>
        <v>기아</v>
      </c>
      <c r="BF226" s="581">
        <v>4.1000000000000002E-2</v>
      </c>
      <c r="BG226" s="281">
        <v>0</v>
      </c>
      <c r="BH226" s="281">
        <v>0</v>
      </c>
      <c r="BI226" s="279"/>
      <c r="BJ226" s="279"/>
      <c r="BK226" s="279"/>
      <c r="BL226" s="279"/>
      <c r="BM226" s="279" t="s">
        <v>1548</v>
      </c>
      <c r="BN226" s="279"/>
      <c r="BO226" s="279"/>
      <c r="BP226" s="500">
        <f t="shared" si="320"/>
        <v>6.5000000000000002E-2</v>
      </c>
      <c r="BQ226" s="973">
        <f t="shared" si="321"/>
        <v>5.8000000000000003E-2</v>
      </c>
    </row>
    <row r="227" spans="1:69" s="460" customFormat="1" ht="15" customHeight="1">
      <c r="A227" s="281">
        <v>216</v>
      </c>
      <c r="B227" s="279">
        <v>412882660</v>
      </c>
      <c r="C227" s="279" t="s">
        <v>521</v>
      </c>
      <c r="D227" s="279" t="s">
        <v>528</v>
      </c>
      <c r="E227" s="279" t="s">
        <v>482</v>
      </c>
      <c r="F227" s="279" t="s">
        <v>474</v>
      </c>
      <c r="G227" s="279">
        <v>81840000</v>
      </c>
      <c r="H227" s="279">
        <v>0</v>
      </c>
      <c r="I227" s="279">
        <v>0</v>
      </c>
      <c r="J227" s="279">
        <v>7</v>
      </c>
      <c r="K227" s="279" t="s">
        <v>560</v>
      </c>
      <c r="L227" s="279">
        <v>0</v>
      </c>
      <c r="M227" s="279" t="s">
        <v>111</v>
      </c>
      <c r="N227" s="279" t="s">
        <v>522</v>
      </c>
      <c r="O227" s="279" t="s">
        <v>996</v>
      </c>
      <c r="P227" s="279" t="s">
        <v>996</v>
      </c>
      <c r="Q227" s="279" t="s">
        <v>1044</v>
      </c>
      <c r="R227" s="279" t="s">
        <v>1000</v>
      </c>
      <c r="S227" s="279">
        <v>0</v>
      </c>
      <c r="T227" s="279">
        <v>3.8</v>
      </c>
      <c r="U227" s="279" t="s">
        <v>998</v>
      </c>
      <c r="V227" s="279" t="s">
        <v>998</v>
      </c>
      <c r="W227" s="279" t="s">
        <v>507</v>
      </c>
      <c r="X227" s="279" t="s">
        <v>519</v>
      </c>
      <c r="Y227" s="279"/>
      <c r="Z227" s="279"/>
      <c r="AA227" s="279"/>
      <c r="AB227" s="279" t="s">
        <v>19</v>
      </c>
      <c r="AC227" s="279" t="s">
        <v>490</v>
      </c>
      <c r="AD227" s="279" t="s">
        <v>491</v>
      </c>
      <c r="AE227" s="279">
        <v>82660</v>
      </c>
      <c r="AF227" s="279" t="s">
        <v>507</v>
      </c>
      <c r="AG227" s="279"/>
      <c r="AH227" s="279"/>
      <c r="AI227" s="279">
        <v>20230509</v>
      </c>
      <c r="AJ227" s="462" t="s">
        <v>1155</v>
      </c>
      <c r="AK227" s="279"/>
      <c r="AL227" s="279" t="str">
        <f>IF(AB227="Y","단종모델",LEFT(N227,3)&amp;IFERROR(VLOOKUP(LEFT(N227,3)&amp;P227,#REF!,2,0),""))</f>
        <v>KIA</v>
      </c>
      <c r="AM227" s="469" t="str">
        <f t="shared" si="246"/>
        <v>EV9 전기 4WD 에어 (7인승)</v>
      </c>
      <c r="AN227" s="279">
        <f t="shared" si="311"/>
        <v>81840000</v>
      </c>
      <c r="AO227" s="279">
        <f t="shared" si="312"/>
        <v>0</v>
      </c>
      <c r="AP227" s="279" t="str">
        <f t="shared" si="313"/>
        <v>E</v>
      </c>
      <c r="AQ227" s="279">
        <f t="shared" si="314"/>
        <v>7</v>
      </c>
      <c r="AR227" s="279" t="str">
        <f t="shared" si="315"/>
        <v>RV</v>
      </c>
      <c r="AS227" s="279" t="str">
        <f t="shared" si="316"/>
        <v>다인승</v>
      </c>
      <c r="AT227" s="279" t="str">
        <f t="shared" si="317"/>
        <v>7급</v>
      </c>
      <c r="AU227" s="279" t="str">
        <f t="shared" si="318"/>
        <v>05:소하리</v>
      </c>
      <c r="AV227" s="279">
        <f t="shared" si="351"/>
        <v>2500</v>
      </c>
      <c r="AW227" s="279" t="str">
        <f t="shared" si="319"/>
        <v>D</v>
      </c>
      <c r="AX227" s="279" t="str">
        <f t="shared" si="245"/>
        <v>전기</v>
      </c>
      <c r="AY227" s="468">
        <v>7.0000000000000007E-2</v>
      </c>
      <c r="AZ227" s="468"/>
      <c r="BA227" s="279" t="s">
        <v>1697</v>
      </c>
      <c r="BB227" s="279" t="s">
        <v>1292</v>
      </c>
      <c r="BC227" s="279"/>
      <c r="BD227" s="279" t="s">
        <v>1476</v>
      </c>
      <c r="BE227" s="279" t="str">
        <f t="shared" si="331"/>
        <v>기아</v>
      </c>
      <c r="BF227" s="581">
        <v>4.1000000000000002E-2</v>
      </c>
      <c r="BG227" s="281">
        <v>0</v>
      </c>
      <c r="BH227" s="281">
        <v>0</v>
      </c>
      <c r="BI227" s="279"/>
      <c r="BJ227" s="279"/>
      <c r="BK227" s="279"/>
      <c r="BL227" s="279"/>
      <c r="BM227" s="279" t="s">
        <v>1548</v>
      </c>
      <c r="BN227" s="279"/>
      <c r="BO227" s="279"/>
      <c r="BP227" s="500">
        <f t="shared" si="320"/>
        <v>6.5000000000000002E-2</v>
      </c>
      <c r="BQ227" s="973">
        <f t="shared" si="321"/>
        <v>5.8000000000000003E-2</v>
      </c>
    </row>
    <row r="228" spans="1:69" s="460" customFormat="1" ht="15" customHeight="1">
      <c r="A228" s="281">
        <v>217</v>
      </c>
      <c r="B228" s="279">
        <v>412882662</v>
      </c>
      <c r="C228" s="279" t="s">
        <v>521</v>
      </c>
      <c r="D228" s="279" t="s">
        <v>528</v>
      </c>
      <c r="E228" s="279" t="s">
        <v>482</v>
      </c>
      <c r="F228" s="279" t="s">
        <v>474</v>
      </c>
      <c r="G228" s="279">
        <v>86940000</v>
      </c>
      <c r="H228" s="279">
        <v>0</v>
      </c>
      <c r="I228" s="279">
        <v>0</v>
      </c>
      <c r="J228" s="279">
        <v>7</v>
      </c>
      <c r="K228" s="279" t="s">
        <v>560</v>
      </c>
      <c r="L228" s="279">
        <v>0</v>
      </c>
      <c r="M228" s="279" t="s">
        <v>111</v>
      </c>
      <c r="N228" s="279" t="s">
        <v>522</v>
      </c>
      <c r="O228" s="279" t="s">
        <v>996</v>
      </c>
      <c r="P228" s="279" t="s">
        <v>996</v>
      </c>
      <c r="Q228" s="279" t="s">
        <v>1044</v>
      </c>
      <c r="R228" s="279" t="s">
        <v>1001</v>
      </c>
      <c r="S228" s="279">
        <v>0</v>
      </c>
      <c r="T228" s="279">
        <v>3.8</v>
      </c>
      <c r="U228" s="279" t="s">
        <v>998</v>
      </c>
      <c r="V228" s="279" t="s">
        <v>998</v>
      </c>
      <c r="W228" s="279" t="s">
        <v>507</v>
      </c>
      <c r="X228" s="279" t="s">
        <v>519</v>
      </c>
      <c r="Y228" s="279"/>
      <c r="Z228" s="279"/>
      <c r="AA228" s="279"/>
      <c r="AB228" s="279" t="s">
        <v>19</v>
      </c>
      <c r="AC228" s="279" t="s">
        <v>490</v>
      </c>
      <c r="AD228" s="279" t="s">
        <v>491</v>
      </c>
      <c r="AE228" s="279">
        <v>82662</v>
      </c>
      <c r="AF228" s="279" t="s">
        <v>507</v>
      </c>
      <c r="AG228" s="279"/>
      <c r="AH228" s="279"/>
      <c r="AI228" s="279">
        <v>20230509</v>
      </c>
      <c r="AJ228" s="462" t="s">
        <v>1155</v>
      </c>
      <c r="AK228" s="279"/>
      <c r="AL228" s="279" t="str">
        <f>IF(AB228="Y","단종모델",LEFT(N228,3)&amp;IFERROR(VLOOKUP(LEFT(N228,3)&amp;P228,#REF!,2,0),""))</f>
        <v>KIA</v>
      </c>
      <c r="AM228" s="469" t="str">
        <f t="shared" si="246"/>
        <v>EV9 전기 4WD 어스 (7인승)</v>
      </c>
      <c r="AN228" s="279">
        <f t="shared" si="311"/>
        <v>86940000</v>
      </c>
      <c r="AO228" s="279">
        <f t="shared" si="312"/>
        <v>0</v>
      </c>
      <c r="AP228" s="279" t="str">
        <f t="shared" si="313"/>
        <v>E</v>
      </c>
      <c r="AQ228" s="279">
        <f t="shared" si="314"/>
        <v>7</v>
      </c>
      <c r="AR228" s="279" t="str">
        <f t="shared" si="315"/>
        <v>RV</v>
      </c>
      <c r="AS228" s="279" t="str">
        <f t="shared" si="316"/>
        <v>다인승</v>
      </c>
      <c r="AT228" s="279" t="str">
        <f t="shared" si="317"/>
        <v>7급</v>
      </c>
      <c r="AU228" s="279" t="str">
        <f t="shared" si="318"/>
        <v>05:소하리</v>
      </c>
      <c r="AV228" s="279">
        <f t="shared" si="351"/>
        <v>2500</v>
      </c>
      <c r="AW228" s="279" t="str">
        <f t="shared" ref="AW228:AW230" si="355">LEFT(F228,1)</f>
        <v>D</v>
      </c>
      <c r="AX228" s="279" t="str">
        <f t="shared" si="245"/>
        <v>전기</v>
      </c>
      <c r="AY228" s="468">
        <v>7.0000000000000007E-2</v>
      </c>
      <c r="AZ228" s="468"/>
      <c r="BA228" s="279" t="s">
        <v>1697</v>
      </c>
      <c r="BB228" s="279" t="s">
        <v>1292</v>
      </c>
      <c r="BC228" s="279"/>
      <c r="BD228" s="279" t="s">
        <v>1476</v>
      </c>
      <c r="BE228" s="279" t="str">
        <f t="shared" si="331"/>
        <v>기아</v>
      </c>
      <c r="BF228" s="581">
        <v>4.1000000000000002E-2</v>
      </c>
      <c r="BG228" s="281">
        <v>0</v>
      </c>
      <c r="BH228" s="281">
        <v>0</v>
      </c>
      <c r="BI228" s="279"/>
      <c r="BJ228" s="279"/>
      <c r="BK228" s="279"/>
      <c r="BL228" s="279"/>
      <c r="BM228" s="279" t="s">
        <v>1548</v>
      </c>
      <c r="BN228" s="279"/>
      <c r="BO228" s="279"/>
      <c r="BP228" s="500">
        <f t="shared" si="320"/>
        <v>6.5000000000000002E-2</v>
      </c>
      <c r="BQ228" s="973">
        <f t="shared" si="321"/>
        <v>5.8000000000000003E-2</v>
      </c>
    </row>
    <row r="229" spans="1:69" s="460" customFormat="1" ht="15" customHeight="1">
      <c r="A229" s="281">
        <v>218</v>
      </c>
      <c r="B229" s="279">
        <v>412882664</v>
      </c>
      <c r="C229" s="279" t="s">
        <v>521</v>
      </c>
      <c r="D229" s="279" t="s">
        <v>528</v>
      </c>
      <c r="E229" s="279" t="s">
        <v>482</v>
      </c>
      <c r="F229" s="279" t="s">
        <v>474</v>
      </c>
      <c r="G229" s="279">
        <v>89240000</v>
      </c>
      <c r="H229" s="279">
        <v>0</v>
      </c>
      <c r="I229" s="279">
        <v>0</v>
      </c>
      <c r="J229" s="279">
        <v>7</v>
      </c>
      <c r="K229" s="279" t="s">
        <v>560</v>
      </c>
      <c r="L229" s="279">
        <v>0</v>
      </c>
      <c r="M229" s="279" t="s">
        <v>111</v>
      </c>
      <c r="N229" s="279" t="s">
        <v>522</v>
      </c>
      <c r="O229" s="279" t="s">
        <v>996</v>
      </c>
      <c r="P229" s="279" t="s">
        <v>996</v>
      </c>
      <c r="Q229" s="279" t="s">
        <v>1044</v>
      </c>
      <c r="R229" s="279" t="s">
        <v>1002</v>
      </c>
      <c r="S229" s="279">
        <v>0</v>
      </c>
      <c r="T229" s="279">
        <v>3.8</v>
      </c>
      <c r="U229" s="279" t="s">
        <v>1003</v>
      </c>
      <c r="V229" s="279" t="s">
        <v>1003</v>
      </c>
      <c r="W229" s="279" t="s">
        <v>507</v>
      </c>
      <c r="X229" s="279" t="s">
        <v>519</v>
      </c>
      <c r="Y229" s="279"/>
      <c r="Z229" s="279"/>
      <c r="AA229" s="279"/>
      <c r="AB229" s="279" t="s">
        <v>19</v>
      </c>
      <c r="AC229" s="279" t="s">
        <v>490</v>
      </c>
      <c r="AD229" s="279" t="s">
        <v>491</v>
      </c>
      <c r="AE229" s="279">
        <v>82664</v>
      </c>
      <c r="AF229" s="279" t="s">
        <v>507</v>
      </c>
      <c r="AG229" s="279"/>
      <c r="AH229" s="279"/>
      <c r="AI229" s="279">
        <v>20230509</v>
      </c>
      <c r="AJ229" s="462" t="s">
        <v>1155</v>
      </c>
      <c r="AK229" s="279"/>
      <c r="AL229" s="279" t="str">
        <f>IF(AB229="Y","단종모델",LEFT(N229,3)&amp;IFERROR(VLOOKUP(LEFT(N229,3)&amp;P229,#REF!,2,0),""))</f>
        <v>KIA</v>
      </c>
      <c r="AM229" s="469" t="str">
        <f t="shared" si="246"/>
        <v>EV9 전기 4WD GT-Line (7인승)</v>
      </c>
      <c r="AN229" s="279">
        <f t="shared" si="311"/>
        <v>89240000</v>
      </c>
      <c r="AO229" s="279">
        <f t="shared" ref="AO229:AO253" si="356">H229</f>
        <v>0</v>
      </c>
      <c r="AP229" s="279" t="str">
        <f t="shared" si="313"/>
        <v>E</v>
      </c>
      <c r="AQ229" s="279">
        <f t="shared" si="314"/>
        <v>7</v>
      </c>
      <c r="AR229" s="279" t="str">
        <f t="shared" si="315"/>
        <v>RV</v>
      </c>
      <c r="AS229" s="279" t="str">
        <f t="shared" si="316"/>
        <v>다인승</v>
      </c>
      <c r="AT229" s="279" t="str">
        <f t="shared" si="317"/>
        <v>7급</v>
      </c>
      <c r="AU229" s="279" t="str">
        <f t="shared" si="318"/>
        <v>05:소하리</v>
      </c>
      <c r="AV229" s="279">
        <f t="shared" si="351"/>
        <v>2500</v>
      </c>
      <c r="AW229" s="279" t="str">
        <f t="shared" si="355"/>
        <v>D</v>
      </c>
      <c r="AX229" s="279" t="str">
        <f t="shared" si="245"/>
        <v>전기</v>
      </c>
      <c r="AY229" s="468">
        <v>7.0000000000000007E-2</v>
      </c>
      <c r="AZ229" s="468"/>
      <c r="BA229" s="279" t="s">
        <v>1697</v>
      </c>
      <c r="BB229" s="279" t="s">
        <v>1292</v>
      </c>
      <c r="BC229" s="279"/>
      <c r="BD229" s="279" t="s">
        <v>1476</v>
      </c>
      <c r="BE229" s="279" t="str">
        <f t="shared" si="331"/>
        <v>기아</v>
      </c>
      <c r="BF229" s="581">
        <v>4.1000000000000002E-2</v>
      </c>
      <c r="BG229" s="281">
        <v>0</v>
      </c>
      <c r="BH229" s="281">
        <v>0</v>
      </c>
      <c r="BI229" s="279"/>
      <c r="BJ229" s="279"/>
      <c r="BK229" s="279"/>
      <c r="BL229" s="279"/>
      <c r="BM229" s="279" t="s">
        <v>1548</v>
      </c>
      <c r="BN229" s="279"/>
      <c r="BO229" s="279"/>
      <c r="BP229" s="500">
        <f t="shared" si="320"/>
        <v>6.5000000000000002E-2</v>
      </c>
      <c r="BQ229" s="973">
        <f t="shared" si="321"/>
        <v>5.8000000000000003E-2</v>
      </c>
    </row>
    <row r="230" spans="1:69" s="460" customFormat="1" ht="15" customHeight="1">
      <c r="A230" s="281">
        <v>219</v>
      </c>
      <c r="B230" s="279">
        <v>412882665</v>
      </c>
      <c r="C230" s="279" t="s">
        <v>521</v>
      </c>
      <c r="D230" s="279" t="s">
        <v>528</v>
      </c>
      <c r="E230" s="279" t="s">
        <v>482</v>
      </c>
      <c r="F230" s="279" t="s">
        <v>474</v>
      </c>
      <c r="G230" s="279">
        <v>82840000</v>
      </c>
      <c r="H230" s="279">
        <v>0</v>
      </c>
      <c r="I230" s="279">
        <v>0</v>
      </c>
      <c r="J230" s="279">
        <v>6</v>
      </c>
      <c r="K230" s="279" t="s">
        <v>560</v>
      </c>
      <c r="L230" s="279">
        <v>0</v>
      </c>
      <c r="M230" s="279" t="s">
        <v>111</v>
      </c>
      <c r="N230" s="279" t="s">
        <v>522</v>
      </c>
      <c r="O230" s="279" t="s">
        <v>996</v>
      </c>
      <c r="P230" s="279" t="s">
        <v>996</v>
      </c>
      <c r="Q230" s="279" t="s">
        <v>1044</v>
      </c>
      <c r="R230" s="279" t="s">
        <v>1004</v>
      </c>
      <c r="S230" s="279">
        <v>0</v>
      </c>
      <c r="T230" s="279">
        <v>3.8</v>
      </c>
      <c r="U230" s="279" t="s">
        <v>998</v>
      </c>
      <c r="V230" s="279" t="s">
        <v>998</v>
      </c>
      <c r="W230" s="279" t="s">
        <v>473</v>
      </c>
      <c r="X230" s="279" t="s">
        <v>519</v>
      </c>
      <c r="Y230" s="279"/>
      <c r="Z230" s="279"/>
      <c r="AA230" s="279"/>
      <c r="AB230" s="279" t="s">
        <v>19</v>
      </c>
      <c r="AC230" s="279" t="s">
        <v>490</v>
      </c>
      <c r="AD230" s="279" t="s">
        <v>491</v>
      </c>
      <c r="AE230" s="279">
        <v>82665</v>
      </c>
      <c r="AF230" s="279" t="s">
        <v>473</v>
      </c>
      <c r="AG230" s="279"/>
      <c r="AH230" s="279"/>
      <c r="AI230" s="279">
        <v>20230509</v>
      </c>
      <c r="AJ230" s="462" t="s">
        <v>1155</v>
      </c>
      <c r="AK230" s="279"/>
      <c r="AL230" s="279" t="str">
        <f>IF(AB230="Y","단종모델",LEFT(N230,3)&amp;IFERROR(VLOOKUP(LEFT(N230,3)&amp;P230,#REF!,2,0),""))</f>
        <v>KIA</v>
      </c>
      <c r="AM230" s="469" t="str">
        <f t="shared" si="246"/>
        <v>EV9 전기 4WD 에어 (6인승-스위블)</v>
      </c>
      <c r="AN230" s="279">
        <f t="shared" si="311"/>
        <v>82840000</v>
      </c>
      <c r="AO230" s="279">
        <f t="shared" si="356"/>
        <v>0</v>
      </c>
      <c r="AP230" s="279" t="str">
        <f t="shared" si="313"/>
        <v>E</v>
      </c>
      <c r="AQ230" s="279">
        <f t="shared" si="314"/>
        <v>6</v>
      </c>
      <c r="AR230" s="279" t="str">
        <f t="shared" si="315"/>
        <v>RV</v>
      </c>
      <c r="AS230" s="279" t="str">
        <f t="shared" si="316"/>
        <v>승용</v>
      </c>
      <c r="AT230" s="279" t="str">
        <f t="shared" si="317"/>
        <v>7급</v>
      </c>
      <c r="AU230" s="279" t="str">
        <f t="shared" si="318"/>
        <v>05:소하리</v>
      </c>
      <c r="AV230" s="279">
        <f t="shared" si="351"/>
        <v>1900</v>
      </c>
      <c r="AW230" s="279" t="str">
        <f t="shared" si="355"/>
        <v>D</v>
      </c>
      <c r="AX230" s="279" t="str">
        <f t="shared" si="245"/>
        <v>전기</v>
      </c>
      <c r="AY230" s="468">
        <v>7.0000000000000007E-2</v>
      </c>
      <c r="AZ230" s="468"/>
      <c r="BA230" s="279" t="s">
        <v>1697</v>
      </c>
      <c r="BB230" s="279" t="s">
        <v>1292</v>
      </c>
      <c r="BC230" s="279"/>
      <c r="BD230" s="279" t="s">
        <v>1476</v>
      </c>
      <c r="BE230" s="279" t="str">
        <f t="shared" si="331"/>
        <v>기아</v>
      </c>
      <c r="BF230" s="581">
        <v>4.1000000000000002E-2</v>
      </c>
      <c r="BG230" s="281">
        <v>0</v>
      </c>
      <c r="BH230" s="281">
        <v>0</v>
      </c>
      <c r="BI230" s="279"/>
      <c r="BJ230" s="279"/>
      <c r="BK230" s="279"/>
      <c r="BL230" s="279"/>
      <c r="BM230" s="279" t="s">
        <v>1548</v>
      </c>
      <c r="BN230" s="279"/>
      <c r="BO230" s="279"/>
      <c r="BP230" s="500">
        <f t="shared" si="320"/>
        <v>6.5000000000000002E-2</v>
      </c>
      <c r="BQ230" s="973">
        <f t="shared" si="321"/>
        <v>5.8000000000000003E-2</v>
      </c>
    </row>
    <row r="231" spans="1:69" s="460" customFormat="1" ht="15" customHeight="1">
      <c r="A231" s="281">
        <v>220</v>
      </c>
      <c r="B231" s="279">
        <v>412882666</v>
      </c>
      <c r="C231" s="279" t="s">
        <v>521</v>
      </c>
      <c r="D231" s="279" t="s">
        <v>528</v>
      </c>
      <c r="E231" s="279" t="s">
        <v>482</v>
      </c>
      <c r="F231" s="279" t="s">
        <v>474</v>
      </c>
      <c r="G231" s="279">
        <v>84340000</v>
      </c>
      <c r="H231" s="279">
        <v>0</v>
      </c>
      <c r="I231" s="279">
        <v>0</v>
      </c>
      <c r="J231" s="279">
        <v>6</v>
      </c>
      <c r="K231" s="279" t="s">
        <v>560</v>
      </c>
      <c r="L231" s="279">
        <v>0</v>
      </c>
      <c r="M231" s="279" t="s">
        <v>111</v>
      </c>
      <c r="N231" s="279" t="s">
        <v>522</v>
      </c>
      <c r="O231" s="279" t="s">
        <v>996</v>
      </c>
      <c r="P231" s="279" t="s">
        <v>996</v>
      </c>
      <c r="Q231" s="279" t="s">
        <v>1044</v>
      </c>
      <c r="R231" s="279" t="s">
        <v>1005</v>
      </c>
      <c r="S231" s="279">
        <v>0</v>
      </c>
      <c r="T231" s="279">
        <v>3.8</v>
      </c>
      <c r="U231" s="279" t="s">
        <v>998</v>
      </c>
      <c r="V231" s="279" t="s">
        <v>998</v>
      </c>
      <c r="W231" s="279" t="s">
        <v>473</v>
      </c>
      <c r="X231" s="279" t="s">
        <v>519</v>
      </c>
      <c r="Y231" s="279"/>
      <c r="Z231" s="279"/>
      <c r="AA231" s="279"/>
      <c r="AB231" s="279" t="s">
        <v>19</v>
      </c>
      <c r="AC231" s="279" t="s">
        <v>490</v>
      </c>
      <c r="AD231" s="279" t="s">
        <v>491</v>
      </c>
      <c r="AE231" s="279">
        <v>82666</v>
      </c>
      <c r="AF231" s="279" t="s">
        <v>473</v>
      </c>
      <c r="AG231" s="279"/>
      <c r="AH231" s="279"/>
      <c r="AI231" s="279">
        <v>20230509</v>
      </c>
      <c r="AJ231" s="462" t="s">
        <v>1155</v>
      </c>
      <c r="AK231" s="279"/>
      <c r="AL231" s="279" t="str">
        <f>IF(AB231="Y","단종모델",LEFT(N231,3)&amp;IFERROR(VLOOKUP(LEFT(N231,3)&amp;P231,#REF!,2,0),""))</f>
        <v>KIA</v>
      </c>
      <c r="AM231" s="469" t="str">
        <f t="shared" si="246"/>
        <v>EV9 전기 4WD 에어 (6인승-릴렉션)</v>
      </c>
      <c r="AN231" s="279">
        <f t="shared" si="311"/>
        <v>84340000</v>
      </c>
      <c r="AO231" s="279">
        <f t="shared" si="356"/>
        <v>0</v>
      </c>
      <c r="AP231" s="279" t="str">
        <f t="shared" si="313"/>
        <v>E</v>
      </c>
      <c r="AQ231" s="279">
        <f t="shared" si="314"/>
        <v>6</v>
      </c>
      <c r="AR231" s="279" t="str">
        <f t="shared" si="315"/>
        <v>RV</v>
      </c>
      <c r="AS231" s="279" t="str">
        <f t="shared" si="316"/>
        <v>승용</v>
      </c>
      <c r="AT231" s="279" t="str">
        <f t="shared" si="317"/>
        <v>7급</v>
      </c>
      <c r="AU231" s="279" t="str">
        <f t="shared" si="318"/>
        <v>05:소하리</v>
      </c>
      <c r="AV231" s="279">
        <f t="shared" si="351"/>
        <v>1900</v>
      </c>
      <c r="AW231" s="279" t="str">
        <f t="shared" ref="AW231:AW232" si="357">LEFT(F231,1)</f>
        <v>D</v>
      </c>
      <c r="AX231" s="279" t="str">
        <f t="shared" si="245"/>
        <v>전기</v>
      </c>
      <c r="AY231" s="468">
        <v>7.0000000000000007E-2</v>
      </c>
      <c r="AZ231" s="468"/>
      <c r="BA231" s="279" t="s">
        <v>1697</v>
      </c>
      <c r="BB231" s="279" t="s">
        <v>1292</v>
      </c>
      <c r="BC231" s="279"/>
      <c r="BD231" s="279" t="s">
        <v>1476</v>
      </c>
      <c r="BE231" s="279" t="str">
        <f t="shared" si="331"/>
        <v>기아</v>
      </c>
      <c r="BF231" s="581">
        <v>4.1000000000000002E-2</v>
      </c>
      <c r="BG231" s="281">
        <v>0</v>
      </c>
      <c r="BH231" s="281">
        <v>0</v>
      </c>
      <c r="BI231" s="279"/>
      <c r="BJ231" s="279"/>
      <c r="BK231" s="279"/>
      <c r="BL231" s="279"/>
      <c r="BM231" s="279" t="s">
        <v>1548</v>
      </c>
      <c r="BN231" s="279"/>
      <c r="BO231" s="279"/>
      <c r="BP231" s="500">
        <f t="shared" si="320"/>
        <v>6.5000000000000002E-2</v>
      </c>
      <c r="BQ231" s="973">
        <f t="shared" si="321"/>
        <v>5.8000000000000003E-2</v>
      </c>
    </row>
    <row r="232" spans="1:69" s="460" customFormat="1" ht="15" customHeight="1">
      <c r="A232" s="281">
        <v>221</v>
      </c>
      <c r="B232" s="279">
        <v>412882667</v>
      </c>
      <c r="C232" s="279" t="s">
        <v>521</v>
      </c>
      <c r="D232" s="279" t="s">
        <v>528</v>
      </c>
      <c r="E232" s="279" t="s">
        <v>482</v>
      </c>
      <c r="F232" s="279" t="s">
        <v>474</v>
      </c>
      <c r="G232" s="279">
        <v>87940000</v>
      </c>
      <c r="H232" s="279">
        <v>0</v>
      </c>
      <c r="I232" s="279">
        <v>0</v>
      </c>
      <c r="J232" s="279">
        <v>6</v>
      </c>
      <c r="K232" s="279" t="s">
        <v>560</v>
      </c>
      <c r="L232" s="279">
        <v>0</v>
      </c>
      <c r="M232" s="279" t="s">
        <v>111</v>
      </c>
      <c r="N232" s="279" t="s">
        <v>522</v>
      </c>
      <c r="O232" s="279" t="s">
        <v>996</v>
      </c>
      <c r="P232" s="279" t="s">
        <v>996</v>
      </c>
      <c r="Q232" s="279" t="s">
        <v>1044</v>
      </c>
      <c r="R232" s="279" t="s">
        <v>1006</v>
      </c>
      <c r="S232" s="279">
        <v>0</v>
      </c>
      <c r="T232" s="279">
        <v>3.8</v>
      </c>
      <c r="U232" s="279" t="s">
        <v>998</v>
      </c>
      <c r="V232" s="279" t="s">
        <v>998</v>
      </c>
      <c r="W232" s="279" t="s">
        <v>473</v>
      </c>
      <c r="X232" s="279" t="s">
        <v>519</v>
      </c>
      <c r="Y232" s="279"/>
      <c r="Z232" s="279"/>
      <c r="AA232" s="279"/>
      <c r="AB232" s="279" t="s">
        <v>19</v>
      </c>
      <c r="AC232" s="279" t="s">
        <v>490</v>
      </c>
      <c r="AD232" s="279" t="s">
        <v>491</v>
      </c>
      <c r="AE232" s="279">
        <v>82667</v>
      </c>
      <c r="AF232" s="279" t="s">
        <v>473</v>
      </c>
      <c r="AG232" s="279"/>
      <c r="AH232" s="279"/>
      <c r="AI232" s="279">
        <v>20230509</v>
      </c>
      <c r="AJ232" s="462" t="s">
        <v>1155</v>
      </c>
      <c r="AK232" s="279"/>
      <c r="AL232" s="279" t="str">
        <f>IF(AB232="Y","단종모델",LEFT(N232,3)&amp;IFERROR(VLOOKUP(LEFT(N232,3)&amp;P232,#REF!,2,0),""))</f>
        <v>KIA</v>
      </c>
      <c r="AM232" s="469" t="str">
        <f t="shared" si="246"/>
        <v>EV9 전기 4WD 어스 (6인승-스위블)</v>
      </c>
      <c r="AN232" s="279">
        <f t="shared" si="311"/>
        <v>87940000</v>
      </c>
      <c r="AO232" s="279">
        <f t="shared" si="356"/>
        <v>0</v>
      </c>
      <c r="AP232" s="279" t="str">
        <f t="shared" si="313"/>
        <v>E</v>
      </c>
      <c r="AQ232" s="279">
        <f t="shared" si="314"/>
        <v>6</v>
      </c>
      <c r="AR232" s="279" t="str">
        <f t="shared" si="315"/>
        <v>RV</v>
      </c>
      <c r="AS232" s="279" t="str">
        <f t="shared" si="316"/>
        <v>승용</v>
      </c>
      <c r="AT232" s="279" t="str">
        <f t="shared" si="317"/>
        <v>7급</v>
      </c>
      <c r="AU232" s="279" t="str">
        <f t="shared" si="318"/>
        <v>05:소하리</v>
      </c>
      <c r="AV232" s="279">
        <f t="shared" si="351"/>
        <v>1900</v>
      </c>
      <c r="AW232" s="279" t="str">
        <f t="shared" si="357"/>
        <v>D</v>
      </c>
      <c r="AX232" s="279" t="str">
        <f t="shared" si="245"/>
        <v>전기</v>
      </c>
      <c r="AY232" s="468">
        <v>7.0000000000000007E-2</v>
      </c>
      <c r="AZ232" s="468"/>
      <c r="BA232" s="279" t="s">
        <v>1697</v>
      </c>
      <c r="BB232" s="279" t="s">
        <v>1292</v>
      </c>
      <c r="BC232" s="279"/>
      <c r="BD232" s="279" t="s">
        <v>1476</v>
      </c>
      <c r="BE232" s="279" t="str">
        <f t="shared" si="331"/>
        <v>기아</v>
      </c>
      <c r="BF232" s="581">
        <v>4.1000000000000002E-2</v>
      </c>
      <c r="BG232" s="281">
        <v>0</v>
      </c>
      <c r="BH232" s="281">
        <v>0</v>
      </c>
      <c r="BI232" s="279"/>
      <c r="BJ232" s="279"/>
      <c r="BK232" s="279"/>
      <c r="BL232" s="279"/>
      <c r="BM232" s="279" t="s">
        <v>1548</v>
      </c>
      <c r="BN232" s="279"/>
      <c r="BO232" s="279"/>
      <c r="BP232" s="500">
        <f t="shared" si="320"/>
        <v>6.5000000000000002E-2</v>
      </c>
      <c r="BQ232" s="973">
        <f t="shared" si="321"/>
        <v>5.8000000000000003E-2</v>
      </c>
    </row>
    <row r="233" spans="1:69" s="460" customFormat="1" ht="15" customHeight="1">
      <c r="A233" s="281">
        <v>222</v>
      </c>
      <c r="B233" s="279">
        <v>412882668</v>
      </c>
      <c r="C233" s="279" t="s">
        <v>521</v>
      </c>
      <c r="D233" s="279" t="s">
        <v>528</v>
      </c>
      <c r="E233" s="279" t="s">
        <v>482</v>
      </c>
      <c r="F233" s="279" t="s">
        <v>474</v>
      </c>
      <c r="G233" s="279">
        <v>88940000</v>
      </c>
      <c r="H233" s="279">
        <v>0</v>
      </c>
      <c r="I233" s="279">
        <v>0</v>
      </c>
      <c r="J233" s="279">
        <v>6</v>
      </c>
      <c r="K233" s="279" t="s">
        <v>560</v>
      </c>
      <c r="L233" s="279">
        <v>0</v>
      </c>
      <c r="M233" s="279" t="s">
        <v>111</v>
      </c>
      <c r="N233" s="279" t="s">
        <v>522</v>
      </c>
      <c r="O233" s="279" t="s">
        <v>996</v>
      </c>
      <c r="P233" s="279" t="s">
        <v>996</v>
      </c>
      <c r="Q233" s="279" t="s">
        <v>1044</v>
      </c>
      <c r="R233" s="279" t="s">
        <v>1007</v>
      </c>
      <c r="S233" s="279">
        <v>0</v>
      </c>
      <c r="T233" s="279">
        <v>3.8</v>
      </c>
      <c r="U233" s="279" t="s">
        <v>998</v>
      </c>
      <c r="V233" s="279" t="s">
        <v>998</v>
      </c>
      <c r="W233" s="279" t="s">
        <v>473</v>
      </c>
      <c r="X233" s="279" t="s">
        <v>519</v>
      </c>
      <c r="Y233" s="279"/>
      <c r="Z233" s="279"/>
      <c r="AA233" s="279"/>
      <c r="AB233" s="279" t="s">
        <v>19</v>
      </c>
      <c r="AC233" s="279" t="s">
        <v>490</v>
      </c>
      <c r="AD233" s="279" t="s">
        <v>491</v>
      </c>
      <c r="AE233" s="279">
        <v>82668</v>
      </c>
      <c r="AF233" s="279" t="s">
        <v>473</v>
      </c>
      <c r="AG233" s="279"/>
      <c r="AH233" s="279"/>
      <c r="AI233" s="279">
        <v>20230509</v>
      </c>
      <c r="AJ233" s="462" t="s">
        <v>1155</v>
      </c>
      <c r="AK233" s="279"/>
      <c r="AL233" s="279" t="str">
        <f>IF(AB233="Y","단종모델",LEFT(N233,3)&amp;IFERROR(VLOOKUP(LEFT(N233,3)&amp;P233,#REF!,2,0),""))</f>
        <v>KIA</v>
      </c>
      <c r="AM233" s="469" t="str">
        <f t="shared" ref="AM233:AM275" si="358">O233&amp;" "&amp;Q233&amp;" "&amp;R233</f>
        <v>EV9 전기 4WD 어스 (6인승-릴렉션)</v>
      </c>
      <c r="AN233" s="279">
        <f t="shared" si="311"/>
        <v>88940000</v>
      </c>
      <c r="AO233" s="279">
        <f t="shared" si="356"/>
        <v>0</v>
      </c>
      <c r="AP233" s="279" t="str">
        <f t="shared" si="313"/>
        <v>E</v>
      </c>
      <c r="AQ233" s="279">
        <f t="shared" si="314"/>
        <v>6</v>
      </c>
      <c r="AR233" s="279" t="str">
        <f t="shared" si="315"/>
        <v>RV</v>
      </c>
      <c r="AS233" s="279" t="str">
        <f t="shared" si="316"/>
        <v>승용</v>
      </c>
      <c r="AT233" s="279" t="str">
        <f t="shared" si="317"/>
        <v>7급</v>
      </c>
      <c r="AU233" s="279" t="str">
        <f t="shared" si="318"/>
        <v>05:소하리</v>
      </c>
      <c r="AV233" s="279">
        <f t="shared" si="351"/>
        <v>1900</v>
      </c>
      <c r="AW233" s="279" t="str">
        <f t="shared" ref="AW233:AW235" si="359">LEFT(F233,1)</f>
        <v>D</v>
      </c>
      <c r="AX233" s="279" t="str">
        <f t="shared" si="245"/>
        <v>전기</v>
      </c>
      <c r="AY233" s="468">
        <v>7.0000000000000007E-2</v>
      </c>
      <c r="AZ233" s="468"/>
      <c r="BA233" s="279" t="s">
        <v>1697</v>
      </c>
      <c r="BB233" s="279" t="s">
        <v>1292</v>
      </c>
      <c r="BC233" s="279"/>
      <c r="BD233" s="279" t="s">
        <v>1476</v>
      </c>
      <c r="BE233" s="279" t="str">
        <f t="shared" si="331"/>
        <v>기아</v>
      </c>
      <c r="BF233" s="581">
        <v>4.1000000000000002E-2</v>
      </c>
      <c r="BG233" s="281">
        <v>0</v>
      </c>
      <c r="BH233" s="281">
        <v>0</v>
      </c>
      <c r="BI233" s="279"/>
      <c r="BJ233" s="279"/>
      <c r="BK233" s="279"/>
      <c r="BL233" s="279"/>
      <c r="BM233" s="279" t="s">
        <v>1548</v>
      </c>
      <c r="BN233" s="279"/>
      <c r="BO233" s="279"/>
      <c r="BP233" s="500">
        <f t="shared" si="320"/>
        <v>6.5000000000000002E-2</v>
      </c>
      <c r="BQ233" s="973">
        <f t="shared" si="321"/>
        <v>5.8000000000000003E-2</v>
      </c>
    </row>
    <row r="234" spans="1:69" s="460" customFormat="1" ht="15" customHeight="1">
      <c r="A234" s="281">
        <v>223</v>
      </c>
      <c r="B234" s="279">
        <v>412882669</v>
      </c>
      <c r="C234" s="279" t="s">
        <v>521</v>
      </c>
      <c r="D234" s="279" t="s">
        <v>528</v>
      </c>
      <c r="E234" s="279" t="s">
        <v>482</v>
      </c>
      <c r="F234" s="279" t="s">
        <v>474</v>
      </c>
      <c r="G234" s="279">
        <v>90240000</v>
      </c>
      <c r="H234" s="279">
        <v>0</v>
      </c>
      <c r="I234" s="279">
        <v>0</v>
      </c>
      <c r="J234" s="279">
        <v>6</v>
      </c>
      <c r="K234" s="279" t="s">
        <v>560</v>
      </c>
      <c r="L234" s="279">
        <v>0</v>
      </c>
      <c r="M234" s="279" t="s">
        <v>111</v>
      </c>
      <c r="N234" s="279" t="s">
        <v>522</v>
      </c>
      <c r="O234" s="279" t="s">
        <v>996</v>
      </c>
      <c r="P234" s="279" t="s">
        <v>996</v>
      </c>
      <c r="Q234" s="279" t="s">
        <v>1044</v>
      </c>
      <c r="R234" s="279" t="s">
        <v>1008</v>
      </c>
      <c r="S234" s="279">
        <v>0</v>
      </c>
      <c r="T234" s="279">
        <v>3.8</v>
      </c>
      <c r="U234" s="279" t="s">
        <v>1003</v>
      </c>
      <c r="V234" s="279" t="s">
        <v>1003</v>
      </c>
      <c r="W234" s="279" t="s">
        <v>473</v>
      </c>
      <c r="X234" s="279" t="s">
        <v>519</v>
      </c>
      <c r="Y234" s="279"/>
      <c r="Z234" s="279"/>
      <c r="AA234" s="279"/>
      <c r="AB234" s="279" t="s">
        <v>19</v>
      </c>
      <c r="AC234" s="279" t="s">
        <v>490</v>
      </c>
      <c r="AD234" s="279" t="s">
        <v>491</v>
      </c>
      <c r="AE234" s="279">
        <v>82669</v>
      </c>
      <c r="AF234" s="279" t="s">
        <v>473</v>
      </c>
      <c r="AG234" s="279"/>
      <c r="AH234" s="279"/>
      <c r="AI234" s="279">
        <v>20230509</v>
      </c>
      <c r="AJ234" s="462" t="s">
        <v>1155</v>
      </c>
      <c r="AK234" s="279"/>
      <c r="AL234" s="279" t="str">
        <f>IF(AB234="Y","단종모델",LEFT(N234,3)&amp;IFERROR(VLOOKUP(LEFT(N234,3)&amp;P234,#REF!,2,0),""))</f>
        <v>KIA</v>
      </c>
      <c r="AM234" s="469" t="str">
        <f t="shared" si="358"/>
        <v>EV9 전기 4WD GT-Line (6인승-스위블)</v>
      </c>
      <c r="AN234" s="279">
        <f t="shared" si="311"/>
        <v>90240000</v>
      </c>
      <c r="AO234" s="279">
        <f t="shared" si="356"/>
        <v>0</v>
      </c>
      <c r="AP234" s="279" t="str">
        <f t="shared" si="313"/>
        <v>E</v>
      </c>
      <c r="AQ234" s="279">
        <f t="shared" si="314"/>
        <v>6</v>
      </c>
      <c r="AR234" s="279" t="str">
        <f t="shared" si="315"/>
        <v>RV</v>
      </c>
      <c r="AS234" s="279" t="str">
        <f t="shared" si="316"/>
        <v>승용</v>
      </c>
      <c r="AT234" s="279" t="str">
        <f t="shared" si="317"/>
        <v>7급</v>
      </c>
      <c r="AU234" s="279" t="str">
        <f t="shared" si="318"/>
        <v>05:소하리</v>
      </c>
      <c r="AV234" s="279">
        <f t="shared" si="351"/>
        <v>1900</v>
      </c>
      <c r="AW234" s="279" t="str">
        <f t="shared" si="359"/>
        <v>D</v>
      </c>
      <c r="AX234" s="279" t="str">
        <f t="shared" si="245"/>
        <v>전기</v>
      </c>
      <c r="AY234" s="468">
        <v>7.0000000000000007E-2</v>
      </c>
      <c r="AZ234" s="468"/>
      <c r="BA234" s="279" t="s">
        <v>1697</v>
      </c>
      <c r="BB234" s="279" t="s">
        <v>1292</v>
      </c>
      <c r="BC234" s="279"/>
      <c r="BD234" s="279" t="s">
        <v>1476</v>
      </c>
      <c r="BE234" s="279" t="str">
        <f t="shared" si="331"/>
        <v>기아</v>
      </c>
      <c r="BF234" s="581">
        <v>4.1000000000000002E-2</v>
      </c>
      <c r="BG234" s="281">
        <v>0</v>
      </c>
      <c r="BH234" s="281">
        <v>0</v>
      </c>
      <c r="BI234" s="279"/>
      <c r="BJ234" s="279"/>
      <c r="BK234" s="279"/>
      <c r="BL234" s="279"/>
      <c r="BM234" s="279" t="s">
        <v>1548</v>
      </c>
      <c r="BN234" s="279"/>
      <c r="BO234" s="279"/>
      <c r="BP234" s="500">
        <f t="shared" si="320"/>
        <v>6.5000000000000002E-2</v>
      </c>
      <c r="BQ234" s="973">
        <f t="shared" si="321"/>
        <v>5.8000000000000003E-2</v>
      </c>
    </row>
    <row r="235" spans="1:69" s="460" customFormat="1" ht="15" customHeight="1">
      <c r="A235" s="281">
        <v>224</v>
      </c>
      <c r="B235" s="279">
        <v>412882670</v>
      </c>
      <c r="C235" s="279" t="s">
        <v>521</v>
      </c>
      <c r="D235" s="279" t="s">
        <v>528</v>
      </c>
      <c r="E235" s="279" t="s">
        <v>482</v>
      </c>
      <c r="F235" s="279" t="s">
        <v>474</v>
      </c>
      <c r="G235" s="279">
        <v>91240000</v>
      </c>
      <c r="H235" s="279">
        <v>0</v>
      </c>
      <c r="I235" s="279">
        <v>0</v>
      </c>
      <c r="J235" s="279">
        <v>6</v>
      </c>
      <c r="K235" s="279" t="s">
        <v>560</v>
      </c>
      <c r="L235" s="279">
        <v>0</v>
      </c>
      <c r="M235" s="279" t="s">
        <v>111</v>
      </c>
      <c r="N235" s="279" t="s">
        <v>522</v>
      </c>
      <c r="O235" s="279" t="s">
        <v>996</v>
      </c>
      <c r="P235" s="279" t="s">
        <v>996</v>
      </c>
      <c r="Q235" s="279" t="s">
        <v>1044</v>
      </c>
      <c r="R235" s="279" t="s">
        <v>1009</v>
      </c>
      <c r="S235" s="279">
        <v>0</v>
      </c>
      <c r="T235" s="279">
        <v>3.8</v>
      </c>
      <c r="U235" s="279" t="s">
        <v>1003</v>
      </c>
      <c r="V235" s="279" t="s">
        <v>1003</v>
      </c>
      <c r="W235" s="279" t="s">
        <v>473</v>
      </c>
      <c r="X235" s="279" t="s">
        <v>519</v>
      </c>
      <c r="Y235" s="279"/>
      <c r="Z235" s="279"/>
      <c r="AA235" s="279"/>
      <c r="AB235" s="279" t="s">
        <v>19</v>
      </c>
      <c r="AC235" s="279" t="s">
        <v>490</v>
      </c>
      <c r="AD235" s="279" t="s">
        <v>491</v>
      </c>
      <c r="AE235" s="279">
        <v>82670</v>
      </c>
      <c r="AF235" s="279" t="s">
        <v>473</v>
      </c>
      <c r="AG235" s="279"/>
      <c r="AH235" s="279"/>
      <c r="AI235" s="279">
        <v>20230509</v>
      </c>
      <c r="AJ235" s="462" t="s">
        <v>1155</v>
      </c>
      <c r="AK235" s="279"/>
      <c r="AL235" s="279" t="str">
        <f>IF(AB235="Y","단종모델",LEFT(N235,3)&amp;IFERROR(VLOOKUP(LEFT(N235,3)&amp;P235,#REF!,2,0),""))</f>
        <v>KIA</v>
      </c>
      <c r="AM235" s="469" t="str">
        <f t="shared" si="358"/>
        <v>EV9 전기 4WD GT-Line (6인승-릴렉션)</v>
      </c>
      <c r="AN235" s="279">
        <f t="shared" si="311"/>
        <v>91240000</v>
      </c>
      <c r="AO235" s="279">
        <f t="shared" si="356"/>
        <v>0</v>
      </c>
      <c r="AP235" s="279" t="str">
        <f t="shared" si="313"/>
        <v>E</v>
      </c>
      <c r="AQ235" s="279">
        <f t="shared" si="314"/>
        <v>6</v>
      </c>
      <c r="AR235" s="279" t="str">
        <f t="shared" si="315"/>
        <v>RV</v>
      </c>
      <c r="AS235" s="279" t="str">
        <f t="shared" si="316"/>
        <v>승용</v>
      </c>
      <c r="AT235" s="279" t="str">
        <f t="shared" si="317"/>
        <v>7급</v>
      </c>
      <c r="AU235" s="279" t="str">
        <f t="shared" si="318"/>
        <v>05:소하리</v>
      </c>
      <c r="AV235" s="279">
        <f t="shared" si="351"/>
        <v>1900</v>
      </c>
      <c r="AW235" s="279" t="str">
        <f t="shared" si="359"/>
        <v>D</v>
      </c>
      <c r="AX235" s="279" t="str">
        <f t="shared" si="245"/>
        <v>전기</v>
      </c>
      <c r="AY235" s="468">
        <v>7.0000000000000007E-2</v>
      </c>
      <c r="AZ235" s="468"/>
      <c r="BA235" s="279" t="s">
        <v>1697</v>
      </c>
      <c r="BB235" s="279" t="s">
        <v>1292</v>
      </c>
      <c r="BC235" s="279"/>
      <c r="BD235" s="279" t="s">
        <v>1476</v>
      </c>
      <c r="BE235" s="279" t="str">
        <f t="shared" si="331"/>
        <v>기아</v>
      </c>
      <c r="BF235" s="581">
        <v>4.1000000000000002E-2</v>
      </c>
      <c r="BG235" s="281">
        <v>0</v>
      </c>
      <c r="BH235" s="281">
        <v>0</v>
      </c>
      <c r="BI235" s="279"/>
      <c r="BJ235" s="279"/>
      <c r="BK235" s="279"/>
      <c r="BL235" s="279"/>
      <c r="BM235" s="279" t="s">
        <v>1548</v>
      </c>
      <c r="BN235" s="279"/>
      <c r="BO235" s="279"/>
      <c r="BP235" s="500">
        <f t="shared" si="320"/>
        <v>6.5000000000000002E-2</v>
      </c>
      <c r="BQ235" s="973">
        <f t="shared" si="321"/>
        <v>5.8000000000000003E-2</v>
      </c>
    </row>
    <row r="236" spans="1:69" s="460" customFormat="1" ht="15" customHeight="1">
      <c r="A236" s="281">
        <v>225</v>
      </c>
      <c r="B236" s="279">
        <v>460587990</v>
      </c>
      <c r="C236" s="279" t="s">
        <v>527</v>
      </c>
      <c r="D236" s="279" t="s">
        <v>528</v>
      </c>
      <c r="E236" s="279" t="s">
        <v>482</v>
      </c>
      <c r="F236" s="279" t="s">
        <v>474</v>
      </c>
      <c r="G236" s="279">
        <v>42430000</v>
      </c>
      <c r="H236" s="279">
        <v>0</v>
      </c>
      <c r="I236" s="279">
        <v>0</v>
      </c>
      <c r="J236" s="279">
        <v>5</v>
      </c>
      <c r="K236" s="279" t="s">
        <v>560</v>
      </c>
      <c r="L236" s="279">
        <v>0</v>
      </c>
      <c r="M236" s="279" t="s">
        <v>1451</v>
      </c>
      <c r="N236" s="279" t="s">
        <v>995</v>
      </c>
      <c r="O236" s="279" t="s">
        <v>1504</v>
      </c>
      <c r="P236" s="279" t="s">
        <v>129</v>
      </c>
      <c r="Q236" s="279" t="s">
        <v>919</v>
      </c>
      <c r="R236" s="279"/>
      <c r="S236" s="279">
        <v>0</v>
      </c>
      <c r="T236" s="279">
        <v>4.8</v>
      </c>
      <c r="U236" s="279" t="s">
        <v>1132</v>
      </c>
      <c r="V236" s="279" t="s">
        <v>1132</v>
      </c>
      <c r="W236" s="279" t="s">
        <v>473</v>
      </c>
      <c r="X236" s="279" t="s">
        <v>519</v>
      </c>
      <c r="Y236" s="279"/>
      <c r="Z236" s="279"/>
      <c r="AA236" s="279"/>
      <c r="AB236" s="279" t="s">
        <v>26</v>
      </c>
      <c r="AC236" s="279" t="s">
        <v>490</v>
      </c>
      <c r="AD236" s="279" t="s">
        <v>491</v>
      </c>
      <c r="AE236" s="279">
        <v>87990</v>
      </c>
      <c r="AF236" s="279" t="s">
        <v>473</v>
      </c>
      <c r="AG236" s="279"/>
      <c r="AH236" s="279"/>
      <c r="AI236" s="279">
        <v>20240607</v>
      </c>
      <c r="AJ236" s="462" t="s">
        <v>1155</v>
      </c>
      <c r="AK236" s="279"/>
      <c r="AL236" s="279" t="str">
        <f>IF(AB236="Y","단종모델",LEFT(N236,3)&amp;IFERROR(VLOOKUP(LEFT(N236,3)&amp;P236,#REF!,2,0),""))</f>
        <v>SSY</v>
      </c>
      <c r="AM236" s="469" t="str">
        <f>O236&amp;" "&amp;Q236&amp;" "&amp;R236</f>
        <v xml:space="preserve">코란도 EV 전기 </v>
      </c>
      <c r="AN236" s="279">
        <f t="shared" si="311"/>
        <v>42430000</v>
      </c>
      <c r="AO236" s="279">
        <f t="shared" si="356"/>
        <v>0</v>
      </c>
      <c r="AP236" s="279" t="str">
        <f t="shared" si="313"/>
        <v>E</v>
      </c>
      <c r="AQ236" s="279">
        <f t="shared" si="314"/>
        <v>5</v>
      </c>
      <c r="AR236" s="279" t="str">
        <f t="shared" si="315"/>
        <v>RV</v>
      </c>
      <c r="AS236" s="279" t="str">
        <f t="shared" si="316"/>
        <v>승용</v>
      </c>
      <c r="AT236" s="279" t="str">
        <f t="shared" si="317"/>
        <v>7급</v>
      </c>
      <c r="AU236" s="279" t="str">
        <f t="shared" si="318"/>
        <v>12:평택</v>
      </c>
      <c r="AV236" s="279">
        <f t="shared" si="351"/>
        <v>0</v>
      </c>
      <c r="AW236" s="279" t="str">
        <f>LEFT(F236,1)</f>
        <v>D</v>
      </c>
      <c r="AX236" s="279" t="str">
        <f t="shared" si="245"/>
        <v>전기</v>
      </c>
      <c r="AY236" s="468">
        <v>2.8000000000000001E-2</v>
      </c>
      <c r="AZ236" s="468"/>
      <c r="BA236" s="279" t="s">
        <v>1697</v>
      </c>
      <c r="BB236" s="279" t="s">
        <v>317</v>
      </c>
      <c r="BC236" s="279"/>
      <c r="BD236" s="279" t="s">
        <v>1476</v>
      </c>
      <c r="BE236" s="279" t="str">
        <f t="shared" si="331"/>
        <v>KGM</v>
      </c>
      <c r="BF236" s="581">
        <v>4.1000000000000002E-2</v>
      </c>
      <c r="BG236" s="281">
        <v>0</v>
      </c>
      <c r="BH236" s="281">
        <v>0</v>
      </c>
      <c r="BI236" s="279"/>
      <c r="BJ236" s="279"/>
      <c r="BK236" s="279"/>
      <c r="BL236" s="279"/>
      <c r="BM236" s="279" t="s">
        <v>1548</v>
      </c>
      <c r="BN236" s="279"/>
      <c r="BO236" s="279"/>
      <c r="BP236" s="500">
        <f t="shared" si="320"/>
        <v>6.5000000000000002E-2</v>
      </c>
      <c r="BQ236" s="973">
        <f t="shared" si="321"/>
        <v>5.8000000000000003E-2</v>
      </c>
    </row>
    <row r="237" spans="1:69" s="460" customFormat="1" ht="15" customHeight="1">
      <c r="A237" s="281">
        <v>226</v>
      </c>
      <c r="B237" s="279">
        <v>449287812</v>
      </c>
      <c r="C237" s="279" t="s">
        <v>527</v>
      </c>
      <c r="D237" s="279" t="s">
        <v>528</v>
      </c>
      <c r="E237" s="279" t="s">
        <v>482</v>
      </c>
      <c r="F237" s="279" t="s">
        <v>474</v>
      </c>
      <c r="G237" s="279">
        <v>47930000</v>
      </c>
      <c r="H237" s="279">
        <v>0</v>
      </c>
      <c r="I237" s="279">
        <v>0</v>
      </c>
      <c r="J237" s="279">
        <v>5</v>
      </c>
      <c r="K237" s="279" t="s">
        <v>560</v>
      </c>
      <c r="L237" s="279">
        <v>0</v>
      </c>
      <c r="M237" s="279" t="s">
        <v>1451</v>
      </c>
      <c r="N237" s="279" t="s">
        <v>995</v>
      </c>
      <c r="O237" s="279" t="s">
        <v>1131</v>
      </c>
      <c r="P237" s="279" t="s">
        <v>1505</v>
      </c>
      <c r="Q237" s="277" t="s">
        <v>1506</v>
      </c>
      <c r="R237" s="279"/>
      <c r="S237" s="279">
        <v>0</v>
      </c>
      <c r="T237" s="279">
        <v>5</v>
      </c>
      <c r="U237" s="279" t="s">
        <v>1132</v>
      </c>
      <c r="V237" s="279" t="s">
        <v>1132</v>
      </c>
      <c r="W237" s="279" t="s">
        <v>473</v>
      </c>
      <c r="X237" s="279" t="s">
        <v>519</v>
      </c>
      <c r="Y237" s="279"/>
      <c r="Z237" s="279"/>
      <c r="AA237" s="279"/>
      <c r="AB237" s="279" t="s">
        <v>26</v>
      </c>
      <c r="AC237" s="279" t="s">
        <v>490</v>
      </c>
      <c r="AD237" s="279" t="s">
        <v>491</v>
      </c>
      <c r="AE237" s="279">
        <v>87812</v>
      </c>
      <c r="AF237" s="279" t="s">
        <v>473</v>
      </c>
      <c r="AG237" s="279"/>
      <c r="AH237" s="279"/>
      <c r="AI237" s="279">
        <v>20240607</v>
      </c>
      <c r="AJ237" s="462" t="s">
        <v>1155</v>
      </c>
      <c r="AK237" s="279"/>
      <c r="AL237" s="279" t="str">
        <f>IF(AB237="Y","단종모델",LEFT(N237,3)&amp;IFERROR(VLOOKUP(LEFT(N237,3)&amp;P237,#REF!,2,0),""))</f>
        <v>SSY</v>
      </c>
      <c r="AM237" s="469" t="str">
        <f t="shared" si="358"/>
        <v xml:space="preserve">토레스 EVX 전기 </v>
      </c>
      <c r="AN237" s="279">
        <f t="shared" si="311"/>
        <v>47930000</v>
      </c>
      <c r="AO237" s="279">
        <f t="shared" si="356"/>
        <v>0</v>
      </c>
      <c r="AP237" s="279" t="str">
        <f t="shared" si="313"/>
        <v>E</v>
      </c>
      <c r="AQ237" s="279">
        <f t="shared" si="314"/>
        <v>5</v>
      </c>
      <c r="AR237" s="279" t="str">
        <f t="shared" si="315"/>
        <v>RV</v>
      </c>
      <c r="AS237" s="279" t="str">
        <f t="shared" si="316"/>
        <v>승용</v>
      </c>
      <c r="AT237" s="279" t="str">
        <f t="shared" si="317"/>
        <v>7급</v>
      </c>
      <c r="AU237" s="279" t="str">
        <f t="shared" si="318"/>
        <v>12:평택</v>
      </c>
      <c r="AV237" s="279">
        <f t="shared" si="351"/>
        <v>0</v>
      </c>
      <c r="AW237" s="279" t="str">
        <f t="shared" ref="AW237:AW253" si="360">LEFT(F237,1)</f>
        <v>D</v>
      </c>
      <c r="AX237" s="279" t="str">
        <f t="shared" si="245"/>
        <v>전기</v>
      </c>
      <c r="AY237" s="468">
        <v>2.8000000000000001E-2</v>
      </c>
      <c r="AZ237" s="468"/>
      <c r="BA237" s="279" t="s">
        <v>830</v>
      </c>
      <c r="BB237" s="279" t="s">
        <v>826</v>
      </c>
      <c r="BC237" s="279"/>
      <c r="BD237" s="279" t="s">
        <v>1476</v>
      </c>
      <c r="BE237" s="279" t="str">
        <f t="shared" si="331"/>
        <v>KGM</v>
      </c>
      <c r="BF237" s="581">
        <v>4.1000000000000002E-2</v>
      </c>
      <c r="BG237" s="281">
        <v>0</v>
      </c>
      <c r="BH237" s="281">
        <v>0</v>
      </c>
      <c r="BI237" s="279"/>
      <c r="BJ237" s="279"/>
      <c r="BK237" s="279"/>
      <c r="BL237" s="279"/>
      <c r="BM237" s="279" t="s">
        <v>1548</v>
      </c>
      <c r="BN237" s="279"/>
      <c r="BO237" s="279"/>
      <c r="BP237" s="500">
        <f t="shared" si="320"/>
        <v>6.5000000000000002E-2</v>
      </c>
      <c r="BQ237" s="973">
        <f t="shared" si="321"/>
        <v>5.8000000000000003E-2</v>
      </c>
    </row>
    <row r="238" spans="1:69" s="460" customFormat="1" ht="15" customHeight="1">
      <c r="A238" s="281">
        <v>227</v>
      </c>
      <c r="B238" s="279">
        <v>445581993</v>
      </c>
      <c r="C238" s="279" t="s">
        <v>472</v>
      </c>
      <c r="D238" s="279" t="s">
        <v>473</v>
      </c>
      <c r="E238" s="279" t="s">
        <v>482</v>
      </c>
      <c r="F238" s="279" t="s">
        <v>474</v>
      </c>
      <c r="G238" s="279">
        <v>19970000</v>
      </c>
      <c r="H238" s="279">
        <v>1598</v>
      </c>
      <c r="I238" s="279">
        <v>0</v>
      </c>
      <c r="J238" s="279">
        <v>5</v>
      </c>
      <c r="K238" s="279" t="s">
        <v>475</v>
      </c>
      <c r="L238" s="279">
        <v>0</v>
      </c>
      <c r="M238" s="279" t="s">
        <v>95</v>
      </c>
      <c r="N238" s="279" t="s">
        <v>476</v>
      </c>
      <c r="O238" s="279" t="s">
        <v>950</v>
      </c>
      <c r="P238" s="279" t="s">
        <v>97</v>
      </c>
      <c r="Q238" s="279" t="s">
        <v>1947</v>
      </c>
      <c r="R238" s="279"/>
      <c r="S238" s="279">
        <v>47</v>
      </c>
      <c r="T238" s="279">
        <v>15.3</v>
      </c>
      <c r="U238" s="279" t="s">
        <v>477</v>
      </c>
      <c r="V238" s="279" t="s">
        <v>477</v>
      </c>
      <c r="W238" s="279" t="s">
        <v>473</v>
      </c>
      <c r="X238" s="279" t="s">
        <v>478</v>
      </c>
      <c r="Y238" s="279"/>
      <c r="Z238" s="279"/>
      <c r="AA238" s="279"/>
      <c r="AB238" s="279" t="s">
        <v>479</v>
      </c>
      <c r="AC238" s="279" t="s">
        <v>480</v>
      </c>
      <c r="AD238" s="279" t="s">
        <v>491</v>
      </c>
      <c r="AE238" s="279">
        <v>81993</v>
      </c>
      <c r="AF238" s="279" t="s">
        <v>473</v>
      </c>
      <c r="AG238" s="279"/>
      <c r="AH238" s="279"/>
      <c r="AI238" s="279">
        <v>20230509</v>
      </c>
      <c r="AJ238" s="462" t="s">
        <v>1151</v>
      </c>
      <c r="AK238" s="279"/>
      <c r="AL238" s="279" t="str">
        <f>IF(AB238="Y","단종모델",LEFT(N238,3)&amp;IFERROR(VLOOKUP(LEFT(N238,3)&amp;P238,#REF!,2,0),""))</f>
        <v>HDM</v>
      </c>
      <c r="AM238" s="469" t="str">
        <f t="shared" si="358"/>
        <v xml:space="preserve">아반떼 ('24년 선구매) 가솔린 1.6 </v>
      </c>
      <c r="AN238" s="279">
        <f>G238</f>
        <v>19970000</v>
      </c>
      <c r="AO238" s="279">
        <f>H238</f>
        <v>1598</v>
      </c>
      <c r="AP238" s="279" t="str">
        <f>LEFT(K238,1)</f>
        <v>M</v>
      </c>
      <c r="AQ238" s="279">
        <f>J238</f>
        <v>5</v>
      </c>
      <c r="AR238" s="279" t="str">
        <f>RIGHT(D238,2)</f>
        <v>승용</v>
      </c>
      <c r="AS238" s="279" t="str">
        <f>MID(W238,4,3)</f>
        <v>승용</v>
      </c>
      <c r="AT238" s="279" t="str">
        <f t="shared" si="317"/>
        <v>2급</v>
      </c>
      <c r="AU238" s="279" t="str">
        <f t="shared" si="318"/>
        <v>02:울산</v>
      </c>
      <c r="AV238" s="279">
        <f>IF(AND(BE238="기아",AQ238&lt;7),1900,IF(AND(BE238="기아",AQ238&gt;6,AQ238&lt;11),2500,IF(AND(BE238="기아",AQ238&gt;10),3500,IF(AND(BE238="KG모빌리티",AQ238&lt;7),3650,IF(AND(BE238="KG모빌리티",AQ238&gt;6),4300,0)))))</f>
        <v>0</v>
      </c>
      <c r="AW238" s="279" t="str">
        <f t="shared" si="360"/>
        <v>D</v>
      </c>
      <c r="AX238" s="279" t="str">
        <f>AJ238</f>
        <v>전략</v>
      </c>
      <c r="AY238" s="468">
        <v>3.5000000000000003E-2</v>
      </c>
      <c r="AZ238" s="468"/>
      <c r="BA238" s="279" t="s">
        <v>1563</v>
      </c>
      <c r="BB238" s="279" t="s">
        <v>1551</v>
      </c>
      <c r="BC238" s="279"/>
      <c r="BD238" s="279" t="s">
        <v>1475</v>
      </c>
      <c r="BE238" s="279" t="str">
        <f t="shared" si="331"/>
        <v>현대</v>
      </c>
      <c r="BF238" s="581">
        <v>4.1000000000000002E-2</v>
      </c>
      <c r="BG238" s="281">
        <v>77000</v>
      </c>
      <c r="BH238" s="281">
        <v>0</v>
      </c>
      <c r="BI238" s="279" t="s">
        <v>1992</v>
      </c>
      <c r="BJ238" s="279"/>
      <c r="BK238" s="279"/>
      <c r="BL238" s="279"/>
      <c r="BM238" s="279" t="s">
        <v>1547</v>
      </c>
      <c r="BO238" s="279"/>
      <c r="BP238" s="500">
        <f t="shared" si="320"/>
        <v>6.8000000000000005E-2</v>
      </c>
      <c r="BQ238" s="973">
        <f>BP238-0.007</f>
        <v>6.1000000000000006E-2</v>
      </c>
    </row>
    <row r="239" spans="1:69" s="460" customFormat="1" ht="15" customHeight="1">
      <c r="A239" s="281">
        <v>228</v>
      </c>
      <c r="B239" s="279">
        <v>446682095</v>
      </c>
      <c r="C239" s="279" t="s">
        <v>472</v>
      </c>
      <c r="D239" s="279" t="s">
        <v>473</v>
      </c>
      <c r="E239" s="279" t="s">
        <v>482</v>
      </c>
      <c r="F239" s="279" t="s">
        <v>474</v>
      </c>
      <c r="G239" s="279">
        <v>33670000</v>
      </c>
      <c r="H239" s="279">
        <v>1999</v>
      </c>
      <c r="I239" s="279">
        <v>0</v>
      </c>
      <c r="J239" s="279">
        <v>5</v>
      </c>
      <c r="K239" s="279" t="s">
        <v>495</v>
      </c>
      <c r="L239" s="279">
        <v>0</v>
      </c>
      <c r="M239" s="279" t="s">
        <v>95</v>
      </c>
      <c r="N239" s="279" t="s">
        <v>476</v>
      </c>
      <c r="O239" s="279" t="s">
        <v>110</v>
      </c>
      <c r="P239" s="279" t="s">
        <v>954</v>
      </c>
      <c r="Q239" s="279" t="s">
        <v>1948</v>
      </c>
      <c r="R239" s="279"/>
      <c r="S239" s="279">
        <v>50</v>
      </c>
      <c r="T239" s="279">
        <v>19.399999999999999</v>
      </c>
      <c r="U239" s="279" t="s">
        <v>501</v>
      </c>
      <c r="V239" s="279" t="s">
        <v>501</v>
      </c>
      <c r="W239" s="279" t="s">
        <v>473</v>
      </c>
      <c r="X239" s="279" t="s">
        <v>498</v>
      </c>
      <c r="Y239" s="279"/>
      <c r="Z239" s="279"/>
      <c r="AA239" s="279"/>
      <c r="AB239" s="279" t="s">
        <v>494</v>
      </c>
      <c r="AC239" s="279" t="s">
        <v>499</v>
      </c>
      <c r="AD239" s="279" t="s">
        <v>491</v>
      </c>
      <c r="AE239" s="279">
        <v>82095</v>
      </c>
      <c r="AF239" s="279" t="s">
        <v>473</v>
      </c>
      <c r="AG239" s="279"/>
      <c r="AH239" s="279"/>
      <c r="AI239" s="279">
        <v>20230509</v>
      </c>
      <c r="AJ239" s="462" t="s">
        <v>1151</v>
      </c>
      <c r="AK239" s="279"/>
      <c r="AL239" s="279" t="str">
        <f>IF(AB239="Y","단종모델",LEFT(N239,3)&amp;IFERROR(VLOOKUP(LEFT(N239,3)&amp;P239,#REF!,2,0),""))</f>
        <v>HDM</v>
      </c>
      <c r="AM239" s="469" t="str">
        <f t="shared" si="358"/>
        <v xml:space="preserve">쏘나타 ('24년 선구매) 가솔린 2.0 하이브리드 </v>
      </c>
      <c r="AN239" s="279">
        <f t="shared" si="311"/>
        <v>33670000</v>
      </c>
      <c r="AO239" s="279">
        <f t="shared" si="356"/>
        <v>1999</v>
      </c>
      <c r="AP239" s="279" t="str">
        <f t="shared" si="313"/>
        <v>T</v>
      </c>
      <c r="AQ239" s="279">
        <f t="shared" si="314"/>
        <v>5</v>
      </c>
      <c r="AR239" s="279" t="str">
        <f t="shared" si="315"/>
        <v>승용</v>
      </c>
      <c r="AS239" s="279" t="str">
        <f t="shared" si="316"/>
        <v>승용</v>
      </c>
      <c r="AT239" s="279" t="str">
        <f t="shared" si="317"/>
        <v>3급</v>
      </c>
      <c r="AU239" s="279" t="str">
        <f t="shared" si="318"/>
        <v>01:아산</v>
      </c>
      <c r="AV239" s="279">
        <f t="shared" si="351"/>
        <v>0</v>
      </c>
      <c r="AW239" s="279" t="str">
        <f t="shared" si="360"/>
        <v>D</v>
      </c>
      <c r="AX239" s="279" t="str">
        <f t="shared" si="245"/>
        <v>전략</v>
      </c>
      <c r="AY239" s="1367">
        <v>3.5000000000000003E-2</v>
      </c>
      <c r="AZ239" s="468"/>
      <c r="BA239" s="279" t="s">
        <v>1549</v>
      </c>
      <c r="BB239" s="279" t="s">
        <v>1552</v>
      </c>
      <c r="BC239" s="279"/>
      <c r="BD239" s="279" t="s">
        <v>390</v>
      </c>
      <c r="BE239" s="279" t="str">
        <f t="shared" si="331"/>
        <v>현대</v>
      </c>
      <c r="BF239" s="581">
        <v>4.1000000000000002E-2</v>
      </c>
      <c r="BG239" s="281">
        <v>0</v>
      </c>
      <c r="BH239" s="281">
        <v>0</v>
      </c>
      <c r="BI239" s="279" t="s">
        <v>1992</v>
      </c>
      <c r="BJ239" s="279"/>
      <c r="BK239" s="279"/>
      <c r="BL239" s="279"/>
      <c r="BM239" s="279" t="s">
        <v>1547</v>
      </c>
      <c r="BO239" s="279"/>
      <c r="BP239" s="500">
        <f t="shared" si="320"/>
        <v>6.8000000000000005E-2</v>
      </c>
      <c r="BQ239" s="973">
        <f t="shared" si="321"/>
        <v>6.1000000000000006E-2</v>
      </c>
    </row>
    <row r="240" spans="1:69" s="460" customFormat="1" ht="15" customHeight="1">
      <c r="A240" s="281">
        <v>229</v>
      </c>
      <c r="B240" s="279">
        <v>418888002</v>
      </c>
      <c r="C240" s="279" t="s">
        <v>472</v>
      </c>
      <c r="D240" s="279" t="s">
        <v>473</v>
      </c>
      <c r="E240" s="279" t="s">
        <v>482</v>
      </c>
      <c r="F240" s="279" t="s">
        <v>474</v>
      </c>
      <c r="G240" s="279">
        <v>37680000</v>
      </c>
      <c r="H240" s="279">
        <v>2497</v>
      </c>
      <c r="I240" s="279">
        <v>0</v>
      </c>
      <c r="J240" s="279">
        <v>5</v>
      </c>
      <c r="K240" s="279" t="s">
        <v>475</v>
      </c>
      <c r="L240" s="279">
        <v>0</v>
      </c>
      <c r="M240" s="279" t="s">
        <v>95</v>
      </c>
      <c r="N240" s="279" t="s">
        <v>476</v>
      </c>
      <c r="O240" s="279" t="s">
        <v>1538</v>
      </c>
      <c r="P240" s="279" t="s">
        <v>96</v>
      </c>
      <c r="Q240" s="279" t="s">
        <v>1949</v>
      </c>
      <c r="R240" s="279"/>
      <c r="S240" s="279">
        <v>60</v>
      </c>
      <c r="T240" s="279">
        <v>11.7</v>
      </c>
      <c r="U240" s="279" t="s">
        <v>1540</v>
      </c>
      <c r="V240" s="279" t="s">
        <v>1540</v>
      </c>
      <c r="W240" s="279" t="s">
        <v>473</v>
      </c>
      <c r="X240" s="279" t="s">
        <v>484</v>
      </c>
      <c r="Y240" s="279"/>
      <c r="Z240" s="279"/>
      <c r="AA240" s="279"/>
      <c r="AB240" s="279" t="s">
        <v>494</v>
      </c>
      <c r="AC240" s="279" t="s">
        <v>487</v>
      </c>
      <c r="AD240" s="279" t="s">
        <v>491</v>
      </c>
      <c r="AE240" s="279">
        <v>88002</v>
      </c>
      <c r="AF240" s="279" t="s">
        <v>473</v>
      </c>
      <c r="AG240" s="279"/>
      <c r="AH240" s="279"/>
      <c r="AI240" s="279">
        <v>20240607</v>
      </c>
      <c r="AJ240" s="462" t="s">
        <v>937</v>
      </c>
      <c r="AK240" s="279"/>
      <c r="AL240" s="279" t="str">
        <f>IF(AB240="Y","단종모델",LEFT(N240,3)&amp;IFERROR(VLOOKUP(LEFT(N240,3)&amp;P240,#REF!,2,0),""))</f>
        <v>HDM</v>
      </c>
      <c r="AM240" s="1381" t="str">
        <f t="shared" si="358"/>
        <v xml:space="preserve">디 올 뉴 그랜저 ('24년 선구매) 가솔린 2.5 </v>
      </c>
      <c r="AN240" s="279">
        <f t="shared" si="311"/>
        <v>37680000</v>
      </c>
      <c r="AO240" s="279">
        <f t="shared" si="356"/>
        <v>2497</v>
      </c>
      <c r="AP240" s="279" t="str">
        <f t="shared" si="313"/>
        <v>M</v>
      </c>
      <c r="AQ240" s="279">
        <f t="shared" si="314"/>
        <v>5</v>
      </c>
      <c r="AR240" s="279" t="str">
        <f t="shared" si="315"/>
        <v>승용</v>
      </c>
      <c r="AS240" s="279" t="str">
        <f t="shared" si="316"/>
        <v>승용</v>
      </c>
      <c r="AT240" s="279" t="str">
        <f t="shared" si="317"/>
        <v>4급</v>
      </c>
      <c r="AU240" s="279" t="str">
        <f t="shared" si="318"/>
        <v>01:아산</v>
      </c>
      <c r="AV240" s="279">
        <f t="shared" si="351"/>
        <v>0</v>
      </c>
      <c r="AW240" s="279" t="str">
        <f t="shared" si="360"/>
        <v>D</v>
      </c>
      <c r="AX240" s="279" t="str">
        <f t="shared" si="245"/>
        <v>전략P</v>
      </c>
      <c r="AY240" s="1367">
        <v>3.5000000000000003E-2</v>
      </c>
      <c r="AZ240" s="468"/>
      <c r="BA240" s="279" t="s">
        <v>1563</v>
      </c>
      <c r="BB240" s="279" t="s">
        <v>1552</v>
      </c>
      <c r="BC240" s="279"/>
      <c r="BD240" s="279" t="s">
        <v>1184</v>
      </c>
      <c r="BE240" s="279" t="str">
        <f t="shared" si="331"/>
        <v>현대</v>
      </c>
      <c r="BF240" s="581">
        <v>4.1000000000000002E-2</v>
      </c>
      <c r="BG240" s="281">
        <v>0</v>
      </c>
      <c r="BH240" s="281">
        <v>0</v>
      </c>
      <c r="BI240" s="279" t="s">
        <v>1992</v>
      </c>
      <c r="BJ240" s="279"/>
      <c r="BK240" s="279"/>
      <c r="BL240" s="279"/>
      <c r="BM240" s="279" t="s">
        <v>1547</v>
      </c>
      <c r="BO240" s="279"/>
      <c r="BP240" s="500">
        <f t="shared" si="320"/>
        <v>6.2E-2</v>
      </c>
      <c r="BQ240" s="973">
        <f t="shared" si="321"/>
        <v>5.5E-2</v>
      </c>
    </row>
    <row r="241" spans="1:69" s="460" customFormat="1" ht="15" customHeight="1">
      <c r="A241" s="281">
        <v>230</v>
      </c>
      <c r="B241" s="279">
        <v>418887997</v>
      </c>
      <c r="C241" s="279" t="s">
        <v>472</v>
      </c>
      <c r="D241" s="279" t="s">
        <v>473</v>
      </c>
      <c r="E241" s="279" t="s">
        <v>482</v>
      </c>
      <c r="F241" s="279" t="s">
        <v>474</v>
      </c>
      <c r="G241" s="279">
        <v>44340000</v>
      </c>
      <c r="H241" s="279">
        <v>1598</v>
      </c>
      <c r="I241" s="279">
        <v>0</v>
      </c>
      <c r="J241" s="279">
        <v>5</v>
      </c>
      <c r="K241" s="279" t="s">
        <v>495</v>
      </c>
      <c r="L241" s="279">
        <v>0</v>
      </c>
      <c r="M241" s="279" t="s">
        <v>95</v>
      </c>
      <c r="N241" s="279" t="s">
        <v>476</v>
      </c>
      <c r="O241" s="279" t="s">
        <v>1538</v>
      </c>
      <c r="P241" s="279" t="s">
        <v>96</v>
      </c>
      <c r="Q241" s="279" t="s">
        <v>1997</v>
      </c>
      <c r="R241" s="279"/>
      <c r="S241" s="279">
        <v>50</v>
      </c>
      <c r="T241" s="279">
        <v>18</v>
      </c>
      <c r="U241" s="279" t="s">
        <v>1540</v>
      </c>
      <c r="V241" s="279" t="s">
        <v>1540</v>
      </c>
      <c r="W241" s="279" t="s">
        <v>473</v>
      </c>
      <c r="X241" s="279" t="s">
        <v>478</v>
      </c>
      <c r="Y241" s="279"/>
      <c r="Z241" s="279"/>
      <c r="AA241" s="279"/>
      <c r="AB241" s="279" t="s">
        <v>494</v>
      </c>
      <c r="AC241" s="279" t="s">
        <v>480</v>
      </c>
      <c r="AD241" s="279" t="s">
        <v>491</v>
      </c>
      <c r="AE241" s="279">
        <v>87997</v>
      </c>
      <c r="AF241" s="279" t="s">
        <v>473</v>
      </c>
      <c r="AG241" s="279"/>
      <c r="AH241" s="279"/>
      <c r="AI241" s="279">
        <v>20240607</v>
      </c>
      <c r="AJ241" s="462" t="s">
        <v>937</v>
      </c>
      <c r="AK241" s="279"/>
      <c r="AL241" s="279" t="str">
        <f>IF(AB241="Y","단종모델",LEFT(N241,3)&amp;IFERROR(VLOOKUP(LEFT(N241,3)&amp;P241,#REF!,2,0),""))</f>
        <v>HDM</v>
      </c>
      <c r="AM241" s="1381" t="str">
        <f t="shared" si="358"/>
        <v xml:space="preserve">디 올 뉴 그랜저 ('25년 선구매) 가솔린 터보 1.6 하이브리드 </v>
      </c>
      <c r="AN241" s="279">
        <f t="shared" si="311"/>
        <v>44340000</v>
      </c>
      <c r="AO241" s="279">
        <f t="shared" si="356"/>
        <v>1598</v>
      </c>
      <c r="AP241" s="279" t="str">
        <f t="shared" si="313"/>
        <v>T</v>
      </c>
      <c r="AQ241" s="279">
        <f t="shared" si="314"/>
        <v>5</v>
      </c>
      <c r="AR241" s="279" t="str">
        <f t="shared" si="315"/>
        <v>승용</v>
      </c>
      <c r="AS241" s="279" t="str">
        <f t="shared" si="316"/>
        <v>승용</v>
      </c>
      <c r="AT241" s="279" t="str">
        <f t="shared" si="317"/>
        <v>2급</v>
      </c>
      <c r="AU241" s="279" t="str">
        <f t="shared" si="318"/>
        <v>01:아산</v>
      </c>
      <c r="AV241" s="279">
        <f t="shared" si="351"/>
        <v>0</v>
      </c>
      <c r="AW241" s="279" t="str">
        <f t="shared" si="360"/>
        <v>D</v>
      </c>
      <c r="AX241" s="279" t="str">
        <f t="shared" si="245"/>
        <v>전략P</v>
      </c>
      <c r="AY241" s="1367">
        <v>3.5000000000000003E-2</v>
      </c>
      <c r="AZ241" s="468"/>
      <c r="BA241" s="279" t="s">
        <v>1687</v>
      </c>
      <c r="BB241" s="279" t="s">
        <v>1552</v>
      </c>
      <c r="BC241" s="279"/>
      <c r="BD241" s="279" t="s">
        <v>1184</v>
      </c>
      <c r="BE241" s="279" t="str">
        <f t="shared" si="331"/>
        <v>현대</v>
      </c>
      <c r="BF241" s="581">
        <v>4.1000000000000002E-2</v>
      </c>
      <c r="BG241" s="281">
        <v>0</v>
      </c>
      <c r="BH241" s="281">
        <v>0</v>
      </c>
      <c r="BI241" s="1368" t="s">
        <v>1993</v>
      </c>
      <c r="BJ241" s="279"/>
      <c r="BK241" s="279"/>
      <c r="BL241" s="279"/>
      <c r="BM241" s="279" t="s">
        <v>1547</v>
      </c>
      <c r="BO241" s="1368">
        <v>-0.2</v>
      </c>
      <c r="BP241" s="500">
        <f>IF(AJ241="전략P",0.062,IF(AJ241="전략",0.068,IF(AND(AJ241="전기",LEFT(AM241,2)="레이"),0.145,IF(AJ241="전기",0.065,IF(LEFT(AM241,3)="캐스퍼",0.093,IF(H241&lt;1000,0.145,0.093))))))-IF(BO241&gt;0,BO241%,-0.2%)</f>
        <v>6.4000000000000001E-2</v>
      </c>
      <c r="BQ241" s="973">
        <f t="shared" si="321"/>
        <v>5.7000000000000002E-2</v>
      </c>
    </row>
    <row r="242" spans="1:69" s="460" customFormat="1" ht="15" customHeight="1">
      <c r="A242" s="281">
        <v>231</v>
      </c>
      <c r="B242" s="279">
        <v>382079995</v>
      </c>
      <c r="C242" s="279" t="s">
        <v>472</v>
      </c>
      <c r="D242" s="279" t="s">
        <v>528</v>
      </c>
      <c r="E242" s="279" t="s">
        <v>482</v>
      </c>
      <c r="F242" s="279" t="s">
        <v>474</v>
      </c>
      <c r="G242" s="279">
        <v>32050000</v>
      </c>
      <c r="H242" s="279">
        <v>1598</v>
      </c>
      <c r="I242" s="279">
        <v>0</v>
      </c>
      <c r="J242" s="279">
        <v>5</v>
      </c>
      <c r="K242" s="279" t="s">
        <v>495</v>
      </c>
      <c r="L242" s="279">
        <v>0</v>
      </c>
      <c r="M242" s="279" t="s">
        <v>95</v>
      </c>
      <c r="N242" s="279" t="s">
        <v>476</v>
      </c>
      <c r="O242" s="279" t="s">
        <v>102</v>
      </c>
      <c r="P242" s="279" t="s">
        <v>104</v>
      </c>
      <c r="Q242" s="279" t="s">
        <v>1950</v>
      </c>
      <c r="R242" s="279"/>
      <c r="S242" s="279">
        <v>52</v>
      </c>
      <c r="T242" s="279">
        <v>16.2</v>
      </c>
      <c r="U242" s="279" t="s">
        <v>523</v>
      </c>
      <c r="V242" s="279" t="s">
        <v>523</v>
      </c>
      <c r="W242" s="279" t="s">
        <v>473</v>
      </c>
      <c r="X242" s="279" t="s">
        <v>478</v>
      </c>
      <c r="Y242" s="279"/>
      <c r="Z242" s="279"/>
      <c r="AA242" s="279"/>
      <c r="AB242" s="279" t="s">
        <v>479</v>
      </c>
      <c r="AC242" s="279" t="s">
        <v>490</v>
      </c>
      <c r="AD242" s="279" t="s">
        <v>491</v>
      </c>
      <c r="AE242" s="279">
        <v>79995</v>
      </c>
      <c r="AF242" s="279" t="s">
        <v>473</v>
      </c>
      <c r="AG242" s="279"/>
      <c r="AH242" s="279"/>
      <c r="AI242" s="279">
        <v>20230509</v>
      </c>
      <c r="AJ242" s="462" t="s">
        <v>1151</v>
      </c>
      <c r="AK242" s="279"/>
      <c r="AL242" s="279" t="str">
        <f>IF(AB242="Y","단종모델",LEFT(N242,3)&amp;IFERROR(VLOOKUP(LEFT(N242,3)&amp;P242,#REF!,2,0),""))</f>
        <v>HDM</v>
      </c>
      <c r="AM242" s="469" t="str">
        <f t="shared" si="358"/>
        <v xml:space="preserve">투싼 ('24년 선구매) 가솔린 터보 1.6 하이브리드 </v>
      </c>
      <c r="AN242" s="279">
        <f t="shared" si="311"/>
        <v>32050000</v>
      </c>
      <c r="AO242" s="279">
        <f t="shared" si="356"/>
        <v>1598</v>
      </c>
      <c r="AP242" s="279" t="str">
        <f t="shared" si="313"/>
        <v>T</v>
      </c>
      <c r="AQ242" s="279">
        <f t="shared" si="314"/>
        <v>5</v>
      </c>
      <c r="AR242" s="279" t="str">
        <f t="shared" si="315"/>
        <v>RV</v>
      </c>
      <c r="AS242" s="279" t="str">
        <f t="shared" si="316"/>
        <v>승용</v>
      </c>
      <c r="AT242" s="279" t="str">
        <f t="shared" si="317"/>
        <v>7급</v>
      </c>
      <c r="AU242" s="279" t="str">
        <f t="shared" si="318"/>
        <v>02:울산</v>
      </c>
      <c r="AV242" s="279">
        <f t="shared" si="351"/>
        <v>0</v>
      </c>
      <c r="AW242" s="279" t="str">
        <f t="shared" si="360"/>
        <v>D</v>
      </c>
      <c r="AX242" s="279" t="str">
        <f t="shared" si="245"/>
        <v>전략</v>
      </c>
      <c r="AY242" s="975">
        <v>3.5000000000000003E-2</v>
      </c>
      <c r="AZ242" s="468"/>
      <c r="BA242" s="279" t="s">
        <v>1748</v>
      </c>
      <c r="BB242" s="279" t="s">
        <v>1563</v>
      </c>
      <c r="BC242" s="279"/>
      <c r="BD242" s="279" t="s">
        <v>390</v>
      </c>
      <c r="BE242" s="279" t="str">
        <f t="shared" si="331"/>
        <v>현대</v>
      </c>
      <c r="BF242" s="581">
        <v>4.1000000000000002E-2</v>
      </c>
      <c r="BG242" s="281">
        <v>78000</v>
      </c>
      <c r="BH242" s="281">
        <v>0</v>
      </c>
      <c r="BI242" s="279" t="s">
        <v>1992</v>
      </c>
      <c r="BJ242" s="279"/>
      <c r="BK242" s="279"/>
      <c r="BL242" s="279"/>
      <c r="BM242" s="279" t="s">
        <v>1547</v>
      </c>
      <c r="BO242" s="279"/>
      <c r="BP242" s="500">
        <f t="shared" si="320"/>
        <v>6.8000000000000005E-2</v>
      </c>
      <c r="BQ242" s="973">
        <f t="shared" si="321"/>
        <v>6.1000000000000006E-2</v>
      </c>
    </row>
    <row r="243" spans="1:69" s="460" customFormat="1" ht="15" customHeight="1">
      <c r="A243" s="281">
        <v>232</v>
      </c>
      <c r="B243" s="279">
        <v>466588403</v>
      </c>
      <c r="C243" s="279" t="s">
        <v>521</v>
      </c>
      <c r="D243" s="279" t="s">
        <v>473</v>
      </c>
      <c r="E243" s="279" t="s">
        <v>482</v>
      </c>
      <c r="F243" s="279" t="s">
        <v>474</v>
      </c>
      <c r="G243" s="279">
        <v>43720000</v>
      </c>
      <c r="H243" s="279">
        <v>1598</v>
      </c>
      <c r="I243" s="279">
        <v>0</v>
      </c>
      <c r="J243" s="279">
        <v>5</v>
      </c>
      <c r="K243" s="279" t="s">
        <v>495</v>
      </c>
      <c r="L243" s="279">
        <v>0</v>
      </c>
      <c r="M243" s="279" t="s">
        <v>111</v>
      </c>
      <c r="N243" s="279" t="s">
        <v>522</v>
      </c>
      <c r="O243" s="279" t="s">
        <v>1769</v>
      </c>
      <c r="P243" s="279" t="s">
        <v>562</v>
      </c>
      <c r="Q243" s="279" t="s">
        <v>1950</v>
      </c>
      <c r="R243" s="279"/>
      <c r="S243" s="279">
        <v>0</v>
      </c>
      <c r="T243" s="279">
        <v>18.100000000000001</v>
      </c>
      <c r="U243" s="279" t="s">
        <v>493</v>
      </c>
      <c r="V243" s="279" t="s">
        <v>493</v>
      </c>
      <c r="W243" s="279" t="s">
        <v>473</v>
      </c>
      <c r="X243" s="279" t="s">
        <v>478</v>
      </c>
      <c r="Y243" s="279"/>
      <c r="Z243" s="279"/>
      <c r="AA243" s="279"/>
      <c r="AB243" s="279" t="s">
        <v>20</v>
      </c>
      <c r="AC243" s="279" t="s">
        <v>480</v>
      </c>
      <c r="AD243" s="279" t="s">
        <v>491</v>
      </c>
      <c r="AE243" s="279">
        <v>88403</v>
      </c>
      <c r="AF243" s="279" t="s">
        <v>473</v>
      </c>
      <c r="AG243" s="279"/>
      <c r="AH243" s="279">
        <v>0</v>
      </c>
      <c r="AI243" s="279">
        <v>20240819</v>
      </c>
      <c r="AJ243" s="462" t="s">
        <v>937</v>
      </c>
      <c r="AK243" s="279"/>
      <c r="AL243" s="279" t="str">
        <f>IF(AB243="Y","단종모델",LEFT(N243,3)&amp;IFERROR(VLOOKUP(LEFT(N243,3)&amp;P243,#REF!,2,0),""))</f>
        <v>KIA</v>
      </c>
      <c r="AM243" s="469" t="str">
        <f t="shared" si="358"/>
        <v xml:space="preserve">K8 ('24년 선구매) 가솔린 터보 1.6 하이브리드 </v>
      </c>
      <c r="AN243" s="279">
        <f t="shared" si="311"/>
        <v>43720000</v>
      </c>
      <c r="AO243" s="279">
        <f t="shared" si="356"/>
        <v>1598</v>
      </c>
      <c r="AP243" s="279" t="str">
        <f t="shared" si="313"/>
        <v>T</v>
      </c>
      <c r="AQ243" s="279">
        <f t="shared" si="314"/>
        <v>5</v>
      </c>
      <c r="AR243" s="279" t="str">
        <f t="shared" si="315"/>
        <v>승용</v>
      </c>
      <c r="AS243" s="279" t="str">
        <f t="shared" si="316"/>
        <v>승용</v>
      </c>
      <c r="AT243" s="279" t="str">
        <f t="shared" si="317"/>
        <v>2급</v>
      </c>
      <c r="AU243" s="279" t="str">
        <f t="shared" si="318"/>
        <v>06:화성</v>
      </c>
      <c r="AV243" s="279">
        <f t="shared" si="351"/>
        <v>1900</v>
      </c>
      <c r="AW243" s="279" t="str">
        <f t="shared" si="360"/>
        <v>D</v>
      </c>
      <c r="AX243" s="279" t="str">
        <f t="shared" si="245"/>
        <v>전략P</v>
      </c>
      <c r="AY243" s="468">
        <v>4.4999999999999998E-2</v>
      </c>
      <c r="AZ243" s="468"/>
      <c r="BA243" s="279" t="s">
        <v>1554</v>
      </c>
      <c r="BB243" s="279" t="s">
        <v>1563</v>
      </c>
      <c r="BC243" s="279">
        <f>IF(AND(렌터카견적내기!BI12=4,OR(렌터카견적내기!BB12=1,렌터카견적내기!BB12=2)),1,0)</f>
        <v>0</v>
      </c>
      <c r="BD243" s="279" t="s">
        <v>1184</v>
      </c>
      <c r="BE243" s="279" t="str">
        <f t="shared" si="331"/>
        <v>기아</v>
      </c>
      <c r="BF243" s="581">
        <v>4.1000000000000002E-2</v>
      </c>
      <c r="BG243" s="281">
        <v>0</v>
      </c>
      <c r="BH243" s="281">
        <v>0</v>
      </c>
      <c r="BI243" s="279" t="s">
        <v>1992</v>
      </c>
      <c r="BJ243" s="279"/>
      <c r="BK243" s="279"/>
      <c r="BL243" s="279"/>
      <c r="BM243" s="279" t="s">
        <v>1548</v>
      </c>
      <c r="BO243" s="279">
        <v>0.5</v>
      </c>
      <c r="BP243" s="500">
        <f t="shared" si="320"/>
        <v>5.7000000000000002E-2</v>
      </c>
      <c r="BQ243" s="973">
        <f t="shared" si="321"/>
        <v>0.05</v>
      </c>
    </row>
    <row r="244" spans="1:69" s="460" customFormat="1" ht="15" customHeight="1">
      <c r="A244" s="281">
        <v>233</v>
      </c>
      <c r="B244" s="279">
        <v>456386368</v>
      </c>
      <c r="C244" s="279" t="s">
        <v>521</v>
      </c>
      <c r="D244" s="279" t="s">
        <v>528</v>
      </c>
      <c r="E244" s="279" t="s">
        <v>482</v>
      </c>
      <c r="F244" s="279" t="s">
        <v>474</v>
      </c>
      <c r="G244" s="279">
        <v>39290000</v>
      </c>
      <c r="H244" s="279">
        <v>1598</v>
      </c>
      <c r="I244" s="279">
        <v>0</v>
      </c>
      <c r="J244" s="279">
        <v>5</v>
      </c>
      <c r="K244" s="279" t="s">
        <v>495</v>
      </c>
      <c r="L244" s="279">
        <v>0</v>
      </c>
      <c r="M244" s="279" t="s">
        <v>111</v>
      </c>
      <c r="N244" s="279" t="s">
        <v>522</v>
      </c>
      <c r="O244" s="279" t="s">
        <v>1180</v>
      </c>
      <c r="P244" s="279" t="s">
        <v>121</v>
      </c>
      <c r="Q244" s="279" t="s">
        <v>1951</v>
      </c>
      <c r="R244" s="279" t="s">
        <v>1015</v>
      </c>
      <c r="S244" s="279">
        <v>0</v>
      </c>
      <c r="T244" s="279">
        <v>15.7</v>
      </c>
      <c r="U244" s="279" t="s">
        <v>523</v>
      </c>
      <c r="V244" s="279" t="s">
        <v>523</v>
      </c>
      <c r="W244" s="279" t="s">
        <v>473</v>
      </c>
      <c r="X244" s="279" t="s">
        <v>478</v>
      </c>
      <c r="Y244" s="279"/>
      <c r="Z244" s="279"/>
      <c r="AA244" s="279"/>
      <c r="AB244" s="279" t="s">
        <v>20</v>
      </c>
      <c r="AC244" s="279" t="s">
        <v>490</v>
      </c>
      <c r="AD244" s="279" t="s">
        <v>491</v>
      </c>
      <c r="AE244" s="279">
        <v>86368</v>
      </c>
      <c r="AF244" s="279" t="s">
        <v>473</v>
      </c>
      <c r="AG244" s="279"/>
      <c r="AH244" s="279"/>
      <c r="AI244" s="279">
        <v>20230824</v>
      </c>
      <c r="AJ244" s="462" t="s">
        <v>937</v>
      </c>
      <c r="AK244" s="279"/>
      <c r="AL244" s="279" t="str">
        <f>IF(AB244="Y","단종모델",LEFT(N244,3)&amp;IFERROR(VLOOKUP(LEFT(N244,3)&amp;P244,#REF!,2,0),""))</f>
        <v>KIA</v>
      </c>
      <c r="AM244" s="1381" t="str">
        <f t="shared" si="358"/>
        <v>더 뉴 쏘렌토 ('24년 선구매) 가솔린 터보 1.6 하이브리드 2WD 5인승</v>
      </c>
      <c r="AN244" s="279">
        <f t="shared" si="311"/>
        <v>39290000</v>
      </c>
      <c r="AO244" s="279">
        <f t="shared" si="356"/>
        <v>1598</v>
      </c>
      <c r="AP244" s="279" t="str">
        <f t="shared" si="313"/>
        <v>T</v>
      </c>
      <c r="AQ244" s="279">
        <f t="shared" si="314"/>
        <v>5</v>
      </c>
      <c r="AR244" s="279" t="str">
        <f t="shared" si="315"/>
        <v>RV</v>
      </c>
      <c r="AS244" s="279" t="str">
        <f t="shared" si="316"/>
        <v>승용</v>
      </c>
      <c r="AT244" s="279" t="str">
        <f t="shared" si="317"/>
        <v>7급</v>
      </c>
      <c r="AU244" s="279" t="str">
        <f t="shared" si="318"/>
        <v>06:화성</v>
      </c>
      <c r="AV244" s="279">
        <f t="shared" si="351"/>
        <v>1900</v>
      </c>
      <c r="AW244" s="279" t="str">
        <f t="shared" si="360"/>
        <v>D</v>
      </c>
      <c r="AX244" s="279" t="str">
        <f t="shared" si="245"/>
        <v>전략P</v>
      </c>
      <c r="AY244" s="1367">
        <v>3.5000000000000003E-2</v>
      </c>
      <c r="AZ244" s="468"/>
      <c r="BA244" s="279" t="s">
        <v>1563</v>
      </c>
      <c r="BB244" s="279" t="s">
        <v>1748</v>
      </c>
      <c r="BC244" s="279"/>
      <c r="BD244" s="279" t="s">
        <v>1184</v>
      </c>
      <c r="BE244" s="279" t="str">
        <f t="shared" si="331"/>
        <v>기아</v>
      </c>
      <c r="BF244" s="581">
        <v>4.1000000000000002E-2</v>
      </c>
      <c r="BG244" s="281">
        <v>0</v>
      </c>
      <c r="BH244" s="281">
        <v>0</v>
      </c>
      <c r="BI244" s="279" t="s">
        <v>1992</v>
      </c>
      <c r="BJ244" s="279"/>
      <c r="BK244" s="279"/>
      <c r="BL244" s="279"/>
      <c r="BM244" s="279" t="s">
        <v>1548</v>
      </c>
      <c r="BO244" s="1368">
        <v>-0.2</v>
      </c>
      <c r="BP244" s="500">
        <f>IF(AJ244="전략P",0.062,IF(AJ244="전략",0.068,IF(AND(AJ244="전기",LEFT(AM244,2)="레이"),0.145,IF(AJ244="전기",0.065,IF(LEFT(AM244,3)="캐스퍼",0.093,IF(H244&lt;1000,0.145,0.093))))))-IF(BO244&gt;0,BO244%,-0.2%)</f>
        <v>6.4000000000000001E-2</v>
      </c>
      <c r="BQ244" s="973">
        <f t="shared" si="321"/>
        <v>5.7000000000000002E-2</v>
      </c>
    </row>
    <row r="245" spans="1:69" s="460" customFormat="1" ht="15" customHeight="1">
      <c r="A245" s="281">
        <v>234</v>
      </c>
      <c r="B245" s="279">
        <v>439182638</v>
      </c>
      <c r="C245" s="279" t="s">
        <v>521</v>
      </c>
      <c r="D245" s="279" t="s">
        <v>528</v>
      </c>
      <c r="E245" s="279" t="s">
        <v>482</v>
      </c>
      <c r="F245" s="279" t="s">
        <v>474</v>
      </c>
      <c r="G245" s="279">
        <v>22100000</v>
      </c>
      <c r="H245" s="279">
        <v>1598</v>
      </c>
      <c r="I245" s="279">
        <v>0</v>
      </c>
      <c r="J245" s="279">
        <v>5</v>
      </c>
      <c r="K245" s="279" t="s">
        <v>475</v>
      </c>
      <c r="L245" s="279">
        <v>0</v>
      </c>
      <c r="M245" s="279" t="s">
        <v>111</v>
      </c>
      <c r="N245" s="279" t="s">
        <v>522</v>
      </c>
      <c r="O245" s="279" t="s">
        <v>128</v>
      </c>
      <c r="P245" s="279" t="s">
        <v>540</v>
      </c>
      <c r="Q245" s="279" t="s">
        <v>1998</v>
      </c>
      <c r="R245" s="279"/>
      <c r="S245" s="279">
        <v>0</v>
      </c>
      <c r="T245" s="279">
        <v>12.8</v>
      </c>
      <c r="U245" s="279" t="s">
        <v>489</v>
      </c>
      <c r="V245" s="279" t="s">
        <v>489</v>
      </c>
      <c r="W245" s="279" t="s">
        <v>473</v>
      </c>
      <c r="X245" s="279" t="s">
        <v>478</v>
      </c>
      <c r="Y245" s="279"/>
      <c r="Z245" s="279"/>
      <c r="AA245" s="279"/>
      <c r="AB245" s="279" t="s">
        <v>21</v>
      </c>
      <c r="AC245" s="279" t="s">
        <v>490</v>
      </c>
      <c r="AD245" s="279" t="s">
        <v>491</v>
      </c>
      <c r="AE245" s="279">
        <v>82638</v>
      </c>
      <c r="AF245" s="279" t="s">
        <v>473</v>
      </c>
      <c r="AG245" s="279"/>
      <c r="AH245" s="279"/>
      <c r="AI245" s="279">
        <v>20230509</v>
      </c>
      <c r="AJ245" s="462" t="s">
        <v>1169</v>
      </c>
      <c r="AK245" s="279"/>
      <c r="AL245" s="279" t="str">
        <f>IF(AB245="Y","단종모델",LEFT(N245,3)&amp;IFERROR(VLOOKUP(LEFT(N245,3)&amp;P245,#REF!,2,0),""))</f>
        <v>KIA</v>
      </c>
      <c r="AM245" s="469" t="str">
        <f>O245&amp;" "&amp;Q245&amp;" "&amp;R245</f>
        <v xml:space="preserve">셀토스 ('25년 선구매) 가솔린 터보 1.6 2WD </v>
      </c>
      <c r="AN245" s="279">
        <f>G245</f>
        <v>22100000</v>
      </c>
      <c r="AO245" s="279">
        <f>H245</f>
        <v>1598</v>
      </c>
      <c r="AP245" s="279" t="str">
        <f>LEFT(K245,1)</f>
        <v>M</v>
      </c>
      <c r="AQ245" s="279">
        <f>J245</f>
        <v>5</v>
      </c>
      <c r="AR245" s="279" t="str">
        <f>RIGHT(D245,2)</f>
        <v>RV</v>
      </c>
      <c r="AS245" s="279" t="str">
        <f>MID(W245,4,3)</f>
        <v>승용</v>
      </c>
      <c r="AT245" s="279" t="str">
        <f>RIGHT(AC245,2)</f>
        <v>7급</v>
      </c>
      <c r="AU245" s="279" t="str">
        <f>AB245</f>
        <v>07:광주</v>
      </c>
      <c r="AV245" s="279">
        <f t="shared" si="351"/>
        <v>1900</v>
      </c>
      <c r="AW245" s="279" t="str">
        <f>LEFT(F245,1)</f>
        <v>D</v>
      </c>
      <c r="AX245" s="279" t="str">
        <f>AJ245</f>
        <v>전략</v>
      </c>
      <c r="AY245" s="1367">
        <v>3.5000000000000003E-2</v>
      </c>
      <c r="AZ245" s="468"/>
      <c r="BA245" s="279" t="s">
        <v>1575</v>
      </c>
      <c r="BB245" s="279" t="s">
        <v>1782</v>
      </c>
      <c r="BC245" s="279"/>
      <c r="BD245" s="279" t="s">
        <v>1281</v>
      </c>
      <c r="BE245" s="279" t="str">
        <f t="shared" si="331"/>
        <v>기아</v>
      </c>
      <c r="BF245" s="581">
        <v>4.1000000000000002E-2</v>
      </c>
      <c r="BG245" s="281">
        <v>0</v>
      </c>
      <c r="BH245" s="281">
        <v>0</v>
      </c>
      <c r="BI245" s="1368" t="s">
        <v>1993</v>
      </c>
      <c r="BJ245" s="279"/>
      <c r="BK245" s="279"/>
      <c r="BL245" s="279"/>
      <c r="BM245" s="279" t="s">
        <v>1548</v>
      </c>
      <c r="BO245" s="279"/>
      <c r="BP245" s="500">
        <f t="shared" si="320"/>
        <v>6.8000000000000005E-2</v>
      </c>
      <c r="BQ245" s="973">
        <f>BP245-0.007</f>
        <v>6.1000000000000006E-2</v>
      </c>
    </row>
    <row r="246" spans="1:69" s="460" customFormat="1" ht="15" customHeight="1">
      <c r="A246" s="281">
        <v>235</v>
      </c>
      <c r="B246" s="279">
        <v>406986137</v>
      </c>
      <c r="C246" s="279" t="s">
        <v>521</v>
      </c>
      <c r="D246" s="279" t="s">
        <v>528</v>
      </c>
      <c r="E246" s="279" t="s">
        <v>482</v>
      </c>
      <c r="F246" s="279" t="s">
        <v>474</v>
      </c>
      <c r="G246" s="279">
        <v>33560000</v>
      </c>
      <c r="H246" s="279">
        <v>1598</v>
      </c>
      <c r="I246" s="279">
        <v>0</v>
      </c>
      <c r="J246" s="279">
        <v>5</v>
      </c>
      <c r="K246" s="279" t="s">
        <v>495</v>
      </c>
      <c r="L246" s="279">
        <v>0</v>
      </c>
      <c r="M246" s="279" t="s">
        <v>111</v>
      </c>
      <c r="N246" s="279" t="s">
        <v>522</v>
      </c>
      <c r="O246" s="279" t="s">
        <v>119</v>
      </c>
      <c r="P246" s="279" t="s">
        <v>118</v>
      </c>
      <c r="Q246" s="279" t="s">
        <v>1951</v>
      </c>
      <c r="R246" s="279"/>
      <c r="S246" s="279">
        <v>52</v>
      </c>
      <c r="T246" s="279">
        <v>16.7</v>
      </c>
      <c r="U246" s="279" t="s">
        <v>523</v>
      </c>
      <c r="V246" s="279" t="s">
        <v>523</v>
      </c>
      <c r="W246" s="279" t="s">
        <v>473</v>
      </c>
      <c r="X246" s="279" t="s">
        <v>478</v>
      </c>
      <c r="Y246" s="279"/>
      <c r="Z246" s="279"/>
      <c r="AA246" s="279"/>
      <c r="AB246" s="279" t="s">
        <v>21</v>
      </c>
      <c r="AC246" s="279" t="s">
        <v>490</v>
      </c>
      <c r="AD246" s="279" t="s">
        <v>491</v>
      </c>
      <c r="AE246" s="279">
        <v>86137</v>
      </c>
      <c r="AF246" s="279" t="s">
        <v>473</v>
      </c>
      <c r="AG246" s="279"/>
      <c r="AH246" s="279">
        <v>0</v>
      </c>
      <c r="AI246" s="279">
        <v>20230731</v>
      </c>
      <c r="AJ246" s="462" t="s">
        <v>1151</v>
      </c>
      <c r="AK246" s="279"/>
      <c r="AL246" s="279" t="str">
        <f>IF(AB246="Y","단종모델",LEFT(N246,3)&amp;IFERROR(VLOOKUP(LEFT(N246,3)&amp;P246,#REF!,2,0),""))</f>
        <v>KIA</v>
      </c>
      <c r="AM246" s="469" t="str">
        <f t="shared" si="358"/>
        <v xml:space="preserve">스포티지 ('24년 선구매) 가솔린 터보 1.6 하이브리드 2WD </v>
      </c>
      <c r="AN246" s="279">
        <f t="shared" si="311"/>
        <v>33560000</v>
      </c>
      <c r="AO246" s="279">
        <f t="shared" si="356"/>
        <v>1598</v>
      </c>
      <c r="AP246" s="279" t="str">
        <f t="shared" si="313"/>
        <v>T</v>
      </c>
      <c r="AQ246" s="279">
        <f t="shared" si="314"/>
        <v>5</v>
      </c>
      <c r="AR246" s="279" t="str">
        <f t="shared" si="315"/>
        <v>RV</v>
      </c>
      <c r="AS246" s="279" t="str">
        <f t="shared" si="316"/>
        <v>승용</v>
      </c>
      <c r="AT246" s="279" t="str">
        <f t="shared" si="317"/>
        <v>7급</v>
      </c>
      <c r="AU246" s="279" t="str">
        <f t="shared" si="318"/>
        <v>07:광주</v>
      </c>
      <c r="AV246" s="279">
        <f t="shared" si="351"/>
        <v>1900</v>
      </c>
      <c r="AW246" s="279" t="str">
        <f t="shared" si="360"/>
        <v>D</v>
      </c>
      <c r="AX246" s="279" t="str">
        <f t="shared" si="245"/>
        <v>전략</v>
      </c>
      <c r="AY246" s="468">
        <v>0.03</v>
      </c>
      <c r="AZ246" s="468"/>
      <c r="BA246" s="279" t="s">
        <v>1573</v>
      </c>
      <c r="BB246" s="279" t="s">
        <v>1753</v>
      </c>
      <c r="BC246" s="279"/>
      <c r="BD246" s="279" t="s">
        <v>390</v>
      </c>
      <c r="BE246" s="279" t="str">
        <f t="shared" si="331"/>
        <v>기아</v>
      </c>
      <c r="BF246" s="581">
        <v>4.1000000000000002E-2</v>
      </c>
      <c r="BG246" s="281">
        <v>0</v>
      </c>
      <c r="BH246" s="281">
        <v>0</v>
      </c>
      <c r="BI246" s="279" t="s">
        <v>1992</v>
      </c>
      <c r="BJ246" s="279"/>
      <c r="BK246" s="279"/>
      <c r="BL246" s="279"/>
      <c r="BM246" s="279" t="s">
        <v>1548</v>
      </c>
      <c r="BO246" s="279"/>
      <c r="BP246" s="500">
        <f t="shared" si="320"/>
        <v>6.8000000000000005E-2</v>
      </c>
      <c r="BQ246" s="973">
        <f t="shared" si="321"/>
        <v>6.1000000000000006E-2</v>
      </c>
    </row>
    <row r="247" spans="1:69" s="460" customFormat="1" ht="15" customHeight="1">
      <c r="A247" s="281">
        <v>236</v>
      </c>
      <c r="B247" s="279">
        <v>458686880</v>
      </c>
      <c r="C247" s="279" t="s">
        <v>521</v>
      </c>
      <c r="D247" s="279" t="s">
        <v>528</v>
      </c>
      <c r="E247" s="279" t="s">
        <v>482</v>
      </c>
      <c r="F247" s="279" t="s">
        <v>474</v>
      </c>
      <c r="G247" s="279">
        <v>43650000</v>
      </c>
      <c r="H247" s="279">
        <v>1598</v>
      </c>
      <c r="I247" s="279">
        <v>0</v>
      </c>
      <c r="J247" s="279">
        <v>9</v>
      </c>
      <c r="K247" s="279" t="s">
        <v>475</v>
      </c>
      <c r="L247" s="279">
        <v>0</v>
      </c>
      <c r="M247" s="279" t="s">
        <v>111</v>
      </c>
      <c r="N247" s="279" t="s">
        <v>522</v>
      </c>
      <c r="O247" s="279" t="s">
        <v>1237</v>
      </c>
      <c r="P247" s="279" t="s">
        <v>532</v>
      </c>
      <c r="Q247" s="279" t="s">
        <v>1955</v>
      </c>
      <c r="R247" s="279" t="s">
        <v>988</v>
      </c>
      <c r="S247" s="279">
        <v>72</v>
      </c>
      <c r="T247" s="279">
        <v>0</v>
      </c>
      <c r="U247" s="279" t="s">
        <v>506</v>
      </c>
      <c r="V247" s="279" t="s">
        <v>506</v>
      </c>
      <c r="W247" s="279" t="s">
        <v>554</v>
      </c>
      <c r="X247" s="279" t="s">
        <v>478</v>
      </c>
      <c r="Y247" s="279"/>
      <c r="Z247" s="279"/>
      <c r="AA247" s="279"/>
      <c r="AB247" s="279" t="s">
        <v>19</v>
      </c>
      <c r="AC247" s="279" t="s">
        <v>490</v>
      </c>
      <c r="AD247" s="279" t="s">
        <v>491</v>
      </c>
      <c r="AE247" s="279">
        <v>86880</v>
      </c>
      <c r="AF247" s="279" t="s">
        <v>507</v>
      </c>
      <c r="AG247" s="279"/>
      <c r="AH247" s="279"/>
      <c r="AI247" s="279">
        <v>20231108</v>
      </c>
      <c r="AJ247" s="462" t="s">
        <v>937</v>
      </c>
      <c r="AK247" s="279"/>
      <c r="AL247" s="279" t="str">
        <f>IF(AB247="Y","단종모델",LEFT(N247,3)&amp;IFERROR(VLOOKUP(LEFT(N247,3)&amp;P247,#REF!,2,0),""))</f>
        <v>KIA</v>
      </c>
      <c r="AM247" s="1381" t="str">
        <f t="shared" si="358"/>
        <v>더 뉴 카니발 (선구매) 가솔린 터보 1.6 하이브리드 9인승</v>
      </c>
      <c r="AN247" s="279">
        <f t="shared" si="311"/>
        <v>43650000</v>
      </c>
      <c r="AO247" s="279">
        <f t="shared" si="356"/>
        <v>1598</v>
      </c>
      <c r="AP247" s="279" t="str">
        <f t="shared" si="313"/>
        <v>M</v>
      </c>
      <c r="AQ247" s="279">
        <f t="shared" si="314"/>
        <v>9</v>
      </c>
      <c r="AR247" s="279" t="str">
        <f t="shared" si="315"/>
        <v>RV</v>
      </c>
      <c r="AS247" s="279" t="str">
        <f t="shared" si="316"/>
        <v>다인승</v>
      </c>
      <c r="AT247" s="279" t="str">
        <f t="shared" si="317"/>
        <v>7급</v>
      </c>
      <c r="AU247" s="279" t="str">
        <f t="shared" si="318"/>
        <v>05:소하리</v>
      </c>
      <c r="AV247" s="279">
        <f t="shared" si="351"/>
        <v>2500</v>
      </c>
      <c r="AW247" s="279" t="str">
        <f t="shared" si="360"/>
        <v>D</v>
      </c>
      <c r="AX247" s="279" t="str">
        <f t="shared" ref="AX247" si="361">AJ247</f>
        <v>전략P</v>
      </c>
      <c r="AY247" s="1367">
        <v>2.5000000000000001E-2</v>
      </c>
      <c r="AZ247" s="468"/>
      <c r="BA247" s="279" t="s">
        <v>1748</v>
      </c>
      <c r="BB247" s="279" t="s">
        <v>1563</v>
      </c>
      <c r="BC247" s="279"/>
      <c r="BD247" s="279" t="s">
        <v>390</v>
      </c>
      <c r="BE247" s="279" t="str">
        <f t="shared" si="331"/>
        <v>기아</v>
      </c>
      <c r="BF247" s="581">
        <v>4.1000000000000002E-2</v>
      </c>
      <c r="BG247" s="281">
        <v>0</v>
      </c>
      <c r="BH247" s="281">
        <v>0</v>
      </c>
      <c r="BI247" s="279" t="s">
        <v>1992</v>
      </c>
      <c r="BJ247" s="279"/>
      <c r="BK247" s="279"/>
      <c r="BL247" s="279"/>
      <c r="BM247" s="279" t="s">
        <v>1548</v>
      </c>
      <c r="BO247" s="1368">
        <v>-0.4</v>
      </c>
      <c r="BP247" s="500">
        <f>IF(AJ247="전략P",0.062,IF(AJ247="전략",0.068,IF(AND(AJ247="전기",LEFT(AM247,2)="레이"),0.145,IF(AJ247="전기",0.065,IF(LEFT(AM247,3)="캐스퍼",0.093,IF(H247&lt;1000,0.145,0.093))))))-IF(BO247&gt;0,BO247%,-0.4%)</f>
        <v>6.6000000000000003E-2</v>
      </c>
      <c r="BQ247" s="973">
        <f t="shared" si="321"/>
        <v>5.9000000000000004E-2</v>
      </c>
    </row>
    <row r="248" spans="1:69" s="460" customFormat="1" ht="15" customHeight="1">
      <c r="A248" s="281">
        <v>237</v>
      </c>
      <c r="B248" s="493">
        <v>443586297</v>
      </c>
      <c r="C248" s="493" t="s">
        <v>472</v>
      </c>
      <c r="D248" s="493" t="s">
        <v>528</v>
      </c>
      <c r="E248" s="493" t="s">
        <v>482</v>
      </c>
      <c r="F248" s="493" t="s">
        <v>474</v>
      </c>
      <c r="G248" s="493">
        <v>42790000</v>
      </c>
      <c r="H248" s="493">
        <v>1598</v>
      </c>
      <c r="I248" s="493">
        <v>0</v>
      </c>
      <c r="J248" s="493">
        <v>5</v>
      </c>
      <c r="K248" s="493" t="s">
        <v>495</v>
      </c>
      <c r="L248" s="493">
        <v>0</v>
      </c>
      <c r="M248" s="493" t="s">
        <v>95</v>
      </c>
      <c r="N248" s="493" t="s">
        <v>476</v>
      </c>
      <c r="O248" s="279" t="s">
        <v>100</v>
      </c>
      <c r="P248" s="493" t="s">
        <v>99</v>
      </c>
      <c r="Q248" s="493" t="s">
        <v>1951</v>
      </c>
      <c r="R248" s="493" t="s">
        <v>1313</v>
      </c>
      <c r="S248" s="493">
        <v>67</v>
      </c>
      <c r="T248" s="493">
        <v>0</v>
      </c>
      <c r="U248" s="493" t="s">
        <v>506</v>
      </c>
      <c r="V248" s="493" t="s">
        <v>506</v>
      </c>
      <c r="W248" s="493" t="s">
        <v>473</v>
      </c>
      <c r="X248" s="493" t="s">
        <v>478</v>
      </c>
      <c r="Y248" s="279"/>
      <c r="Z248" s="279"/>
      <c r="AA248" s="279"/>
      <c r="AB248" s="279" t="s">
        <v>479</v>
      </c>
      <c r="AC248" s="493" t="s">
        <v>490</v>
      </c>
      <c r="AD248" s="493" t="s">
        <v>491</v>
      </c>
      <c r="AE248" s="493">
        <v>86297</v>
      </c>
      <c r="AF248" s="493" t="s">
        <v>473</v>
      </c>
      <c r="AG248" s="493"/>
      <c r="AH248" s="493"/>
      <c r="AI248" s="1132">
        <v>20230816</v>
      </c>
      <c r="AJ248" s="462" t="s">
        <v>1152</v>
      </c>
      <c r="AK248" s="279"/>
      <c r="AL248" s="279" t="str">
        <f>IF(AB248="Y","단종모델",LEFT(N248,3)&amp;IFERROR(VLOOKUP(LEFT(N248,3)&amp;P248,#REF!,2,0),""))</f>
        <v>HDM</v>
      </c>
      <c r="AM248" s="1381" t="str">
        <f t="shared" si="358"/>
        <v>싼타페 ('24년 선구매) 가솔린 터보 1.6 하이브리드 2WD 5인승</v>
      </c>
      <c r="AN248" s="279">
        <f t="shared" si="311"/>
        <v>42790000</v>
      </c>
      <c r="AO248" s="279">
        <f t="shared" si="356"/>
        <v>1598</v>
      </c>
      <c r="AP248" s="279" t="str">
        <f t="shared" si="313"/>
        <v>T</v>
      </c>
      <c r="AQ248" s="279">
        <f t="shared" si="314"/>
        <v>5</v>
      </c>
      <c r="AR248" s="279" t="str">
        <f t="shared" si="315"/>
        <v>RV</v>
      </c>
      <c r="AS248" s="279" t="str">
        <f t="shared" si="316"/>
        <v>승용</v>
      </c>
      <c r="AT248" s="279" t="str">
        <f t="shared" si="317"/>
        <v>7급</v>
      </c>
      <c r="AU248" s="279" t="str">
        <f t="shared" si="318"/>
        <v>02:울산</v>
      </c>
      <c r="AV248" s="279">
        <f t="shared" si="351"/>
        <v>0</v>
      </c>
      <c r="AW248" s="279" t="str">
        <f t="shared" si="360"/>
        <v>D</v>
      </c>
      <c r="AX248" s="279" t="str">
        <f t="shared" ref="AX248:AX253" si="362">AJ248</f>
        <v>전략P</v>
      </c>
      <c r="AY248" s="975">
        <v>0.03</v>
      </c>
      <c r="AZ248" s="468"/>
      <c r="BA248" s="279" t="s">
        <v>1687</v>
      </c>
      <c r="BB248" s="279" t="s">
        <v>1549</v>
      </c>
      <c r="BC248" s="279"/>
      <c r="BD248" s="279" t="s">
        <v>1184</v>
      </c>
      <c r="BE248" s="279" t="str">
        <f t="shared" ref="BE248:BE253" si="363">M248</f>
        <v>현대</v>
      </c>
      <c r="BF248" s="581">
        <v>4.1000000000000002E-2</v>
      </c>
      <c r="BG248" s="281">
        <v>80000</v>
      </c>
      <c r="BH248" s="281">
        <v>0</v>
      </c>
      <c r="BI248" s="279" t="s">
        <v>1992</v>
      </c>
      <c r="BJ248" s="279"/>
      <c r="BK248" s="279"/>
      <c r="BL248" s="279"/>
      <c r="BM248" s="279" t="s">
        <v>1547</v>
      </c>
      <c r="BO248" s="279"/>
      <c r="BP248" s="500">
        <f>IF(AJ248="전략P",0.062,IF(AJ248="전략",0.068,IF(AND(AJ248="전기",LEFT(AM248,2)="레이"),0.145,IF(AJ248="전기",0.065,IF(LEFT(AM248,3)="캐스퍼",0.093,IF(H248&lt;1000,0.145,0.093))))))-IF(BO248&gt;0,BO248%,-0.2%)</f>
        <v>6.4000000000000001E-2</v>
      </c>
      <c r="BQ248" s="973">
        <f t="shared" si="321"/>
        <v>5.7000000000000002E-2</v>
      </c>
    </row>
    <row r="249" spans="1:69" s="460" customFormat="1" ht="15" customHeight="1">
      <c r="A249" s="281">
        <v>238</v>
      </c>
      <c r="B249" s="493">
        <v>443586301</v>
      </c>
      <c r="C249" s="493" t="s">
        <v>472</v>
      </c>
      <c r="D249" s="493" t="s">
        <v>528</v>
      </c>
      <c r="E249" s="493" t="s">
        <v>482</v>
      </c>
      <c r="F249" s="493" t="s">
        <v>474</v>
      </c>
      <c r="G249" s="493">
        <v>43830000</v>
      </c>
      <c r="H249" s="493">
        <v>1598</v>
      </c>
      <c r="I249" s="493">
        <v>0</v>
      </c>
      <c r="J249" s="493">
        <v>6</v>
      </c>
      <c r="K249" s="493" t="s">
        <v>495</v>
      </c>
      <c r="L249" s="493">
        <v>0</v>
      </c>
      <c r="M249" s="493" t="s">
        <v>95</v>
      </c>
      <c r="N249" s="493" t="s">
        <v>476</v>
      </c>
      <c r="O249" s="279" t="s">
        <v>100</v>
      </c>
      <c r="P249" s="493" t="s">
        <v>99</v>
      </c>
      <c r="Q249" s="493" t="s">
        <v>1951</v>
      </c>
      <c r="R249" s="493" t="s">
        <v>1312</v>
      </c>
      <c r="S249" s="493">
        <v>67</v>
      </c>
      <c r="T249" s="493">
        <v>0</v>
      </c>
      <c r="U249" s="493" t="s">
        <v>506</v>
      </c>
      <c r="V249" s="493" t="s">
        <v>506</v>
      </c>
      <c r="W249" s="493" t="s">
        <v>473</v>
      </c>
      <c r="X249" s="493" t="s">
        <v>478</v>
      </c>
      <c r="Y249" s="279"/>
      <c r="Z249" s="279"/>
      <c r="AA249" s="279"/>
      <c r="AB249" s="279" t="s">
        <v>479</v>
      </c>
      <c r="AC249" s="493" t="s">
        <v>490</v>
      </c>
      <c r="AD249" s="493" t="s">
        <v>491</v>
      </c>
      <c r="AE249" s="493">
        <v>86301</v>
      </c>
      <c r="AF249" s="493" t="s">
        <v>473</v>
      </c>
      <c r="AG249" s="493"/>
      <c r="AH249" s="493"/>
      <c r="AI249" s="1132">
        <v>20230816</v>
      </c>
      <c r="AJ249" s="462" t="s">
        <v>1152</v>
      </c>
      <c r="AK249" s="279"/>
      <c r="AL249" s="279" t="str">
        <f>IF(AB249="Y","단종모델",LEFT(N249,3)&amp;IFERROR(VLOOKUP(LEFT(N249,3)&amp;P249,#REF!,2,0),""))</f>
        <v>HDM</v>
      </c>
      <c r="AM249" s="1381" t="str">
        <f t="shared" si="358"/>
        <v>싼타페 ('24년 선구매) 가솔린 터보 1.6 하이브리드 2WD 6인승</v>
      </c>
      <c r="AN249" s="279">
        <f t="shared" si="311"/>
        <v>43830000</v>
      </c>
      <c r="AO249" s="279">
        <f t="shared" si="356"/>
        <v>1598</v>
      </c>
      <c r="AP249" s="279" t="str">
        <f t="shared" si="313"/>
        <v>T</v>
      </c>
      <c r="AQ249" s="279">
        <f t="shared" si="314"/>
        <v>6</v>
      </c>
      <c r="AR249" s="279" t="str">
        <f t="shared" si="315"/>
        <v>RV</v>
      </c>
      <c r="AS249" s="279" t="str">
        <f t="shared" si="316"/>
        <v>승용</v>
      </c>
      <c r="AT249" s="279" t="str">
        <f t="shared" si="317"/>
        <v>7급</v>
      </c>
      <c r="AU249" s="279" t="str">
        <f t="shared" si="318"/>
        <v>02:울산</v>
      </c>
      <c r="AV249" s="279">
        <f t="shared" si="351"/>
        <v>0</v>
      </c>
      <c r="AW249" s="279" t="str">
        <f t="shared" si="360"/>
        <v>D</v>
      </c>
      <c r="AX249" s="279" t="str">
        <f t="shared" si="362"/>
        <v>전략P</v>
      </c>
      <c r="AY249" s="975">
        <v>0.03</v>
      </c>
      <c r="AZ249" s="468"/>
      <c r="BA249" s="279" t="s">
        <v>1687</v>
      </c>
      <c r="BB249" s="279" t="s">
        <v>1549</v>
      </c>
      <c r="BC249" s="279"/>
      <c r="BD249" s="279" t="s">
        <v>1184</v>
      </c>
      <c r="BE249" s="279" t="str">
        <f t="shared" si="363"/>
        <v>현대</v>
      </c>
      <c r="BF249" s="581">
        <v>4.1000000000000002E-2</v>
      </c>
      <c r="BG249" s="281">
        <v>80000</v>
      </c>
      <c r="BH249" s="281">
        <v>0</v>
      </c>
      <c r="BI249" s="279" t="s">
        <v>1992</v>
      </c>
      <c r="BJ249" s="279"/>
      <c r="BK249" s="279"/>
      <c r="BL249" s="279"/>
      <c r="BM249" s="279" t="s">
        <v>1547</v>
      </c>
      <c r="BO249" s="279"/>
      <c r="BP249" s="500">
        <f>IF(AJ249="전략P",0.062,IF(AJ249="전략",0.068,IF(AND(AJ249="전기",LEFT(AM249,2)="레이"),0.145,IF(AJ249="전기",0.065,IF(LEFT(AM249,3)="캐스퍼",0.093,IF(H249&lt;1000,0.145,0.093))))))-IF(BO249&gt;0,BO249%,-0.2%)</f>
        <v>6.4000000000000001E-2</v>
      </c>
      <c r="BQ249" s="973">
        <f t="shared" si="321"/>
        <v>5.7000000000000002E-2</v>
      </c>
    </row>
    <row r="250" spans="1:69" s="460" customFormat="1" ht="15" customHeight="1">
      <c r="A250" s="281">
        <v>239</v>
      </c>
      <c r="B250" s="279">
        <v>460987865</v>
      </c>
      <c r="C250" s="279" t="s">
        <v>472</v>
      </c>
      <c r="D250" s="279" t="s">
        <v>528</v>
      </c>
      <c r="E250" s="279" t="s">
        <v>482</v>
      </c>
      <c r="F250" s="279" t="s">
        <v>474</v>
      </c>
      <c r="G250" s="279">
        <v>53800000</v>
      </c>
      <c r="H250" s="279">
        <v>2497</v>
      </c>
      <c r="I250" s="279">
        <v>0</v>
      </c>
      <c r="J250" s="279">
        <v>5</v>
      </c>
      <c r="K250" s="279" t="s">
        <v>475</v>
      </c>
      <c r="L250" s="279">
        <v>0</v>
      </c>
      <c r="M250" s="279" t="s">
        <v>98</v>
      </c>
      <c r="N250" s="279" t="s">
        <v>544</v>
      </c>
      <c r="O250" s="279" t="s">
        <v>557</v>
      </c>
      <c r="P250" s="279" t="s">
        <v>558</v>
      </c>
      <c r="Q250" s="279" t="s">
        <v>1952</v>
      </c>
      <c r="R250" s="279"/>
      <c r="S250" s="279">
        <v>66</v>
      </c>
      <c r="T250" s="279">
        <v>10.199999999999999</v>
      </c>
      <c r="U250" s="279" t="s">
        <v>506</v>
      </c>
      <c r="V250" s="279" t="s">
        <v>506</v>
      </c>
      <c r="W250" s="279" t="s">
        <v>473</v>
      </c>
      <c r="X250" s="279" t="s">
        <v>484</v>
      </c>
      <c r="Y250" s="279"/>
      <c r="Z250" s="279"/>
      <c r="AA250" s="279"/>
      <c r="AB250" s="279" t="s">
        <v>486</v>
      </c>
      <c r="AC250" s="279" t="s">
        <v>490</v>
      </c>
      <c r="AD250" s="279" t="s">
        <v>491</v>
      </c>
      <c r="AE250" s="279">
        <v>87865</v>
      </c>
      <c r="AF250" s="279" t="s">
        <v>473</v>
      </c>
      <c r="AG250" s="279"/>
      <c r="AH250" s="279">
        <v>0</v>
      </c>
      <c r="AI250" s="279">
        <v>20240607</v>
      </c>
      <c r="AJ250" s="462" t="s">
        <v>937</v>
      </c>
      <c r="AK250" s="279"/>
      <c r="AL250" s="279" t="str">
        <f>IF(AB250="Y","단종모델",LEFT(N250,3)&amp;IFERROR(VLOOKUP(LEFT(N250,3)&amp;P250,#REF!,2,0),""))</f>
        <v>GNS</v>
      </c>
      <c r="AM250" s="469" t="str">
        <f t="shared" si="358"/>
        <v xml:space="preserve">GV70 ('24년 선구매) 가솔린 터보 2.5 </v>
      </c>
      <c r="AN250" s="279">
        <f t="shared" si="311"/>
        <v>53800000</v>
      </c>
      <c r="AO250" s="279">
        <f t="shared" si="356"/>
        <v>2497</v>
      </c>
      <c r="AP250" s="279" t="str">
        <f t="shared" si="313"/>
        <v>M</v>
      </c>
      <c r="AQ250" s="279">
        <f t="shared" si="314"/>
        <v>5</v>
      </c>
      <c r="AR250" s="279" t="str">
        <f t="shared" si="315"/>
        <v>RV</v>
      </c>
      <c r="AS250" s="279" t="str">
        <f t="shared" si="316"/>
        <v>승용</v>
      </c>
      <c r="AT250" s="279" t="str">
        <f t="shared" si="317"/>
        <v>7급</v>
      </c>
      <c r="AU250" s="279" t="str">
        <f t="shared" si="318"/>
        <v>03:울산대형</v>
      </c>
      <c r="AV250" s="279">
        <f t="shared" si="351"/>
        <v>0</v>
      </c>
      <c r="AW250" s="279" t="str">
        <f t="shared" si="360"/>
        <v>D</v>
      </c>
      <c r="AX250" s="279" t="str">
        <f t="shared" si="362"/>
        <v>전략P</v>
      </c>
      <c r="AY250" s="468">
        <v>0.02</v>
      </c>
      <c r="AZ250" s="468"/>
      <c r="BA250" s="279" t="s">
        <v>1687</v>
      </c>
      <c r="BB250" s="279" t="s">
        <v>1552</v>
      </c>
      <c r="BC250" s="279"/>
      <c r="BD250" s="279" t="s">
        <v>1184</v>
      </c>
      <c r="BE250" s="279" t="str">
        <f t="shared" si="363"/>
        <v>제네시스</v>
      </c>
      <c r="BF250" s="581">
        <v>4.1000000000000002E-2</v>
      </c>
      <c r="BG250" s="281">
        <v>80000</v>
      </c>
      <c r="BH250" s="281">
        <v>0</v>
      </c>
      <c r="BI250" s="279" t="s">
        <v>1992</v>
      </c>
      <c r="BJ250" s="279"/>
      <c r="BK250" s="279"/>
      <c r="BL250" s="279"/>
      <c r="BM250" s="279" t="s">
        <v>1547</v>
      </c>
      <c r="BO250" s="279"/>
      <c r="BP250" s="500">
        <f t="shared" si="320"/>
        <v>6.2E-2</v>
      </c>
      <c r="BQ250" s="973">
        <f t="shared" si="321"/>
        <v>5.5E-2</v>
      </c>
    </row>
    <row r="251" spans="1:69" s="460" customFormat="1" ht="15" customHeight="1">
      <c r="A251" s="281">
        <v>240</v>
      </c>
      <c r="B251" s="279">
        <v>446586522</v>
      </c>
      <c r="C251" s="279" t="s">
        <v>472</v>
      </c>
      <c r="D251" s="279" t="s">
        <v>528</v>
      </c>
      <c r="E251" s="279" t="s">
        <v>482</v>
      </c>
      <c r="F251" s="279" t="s">
        <v>474</v>
      </c>
      <c r="G251" s="279">
        <v>69300000</v>
      </c>
      <c r="H251" s="279">
        <v>2497</v>
      </c>
      <c r="I251" s="279">
        <v>0</v>
      </c>
      <c r="J251" s="279">
        <v>5</v>
      </c>
      <c r="K251" s="279" t="s">
        <v>475</v>
      </c>
      <c r="L251" s="279">
        <v>0</v>
      </c>
      <c r="M251" s="279" t="s">
        <v>98</v>
      </c>
      <c r="N251" s="279" t="s">
        <v>544</v>
      </c>
      <c r="O251" s="279" t="s">
        <v>1209</v>
      </c>
      <c r="P251" s="279" t="s">
        <v>566</v>
      </c>
      <c r="Q251" s="279" t="s">
        <v>1953</v>
      </c>
      <c r="R251" s="279" t="s">
        <v>1145</v>
      </c>
      <c r="S251" s="279">
        <v>80</v>
      </c>
      <c r="T251" s="279">
        <v>9.3000000000000007</v>
      </c>
      <c r="U251" s="279" t="s">
        <v>546</v>
      </c>
      <c r="V251" s="279" t="s">
        <v>546</v>
      </c>
      <c r="W251" s="279" t="s">
        <v>473</v>
      </c>
      <c r="X251" s="279" t="s">
        <v>484</v>
      </c>
      <c r="Y251" s="279"/>
      <c r="Z251" s="279"/>
      <c r="AA251" s="279"/>
      <c r="AB251" s="279" t="s">
        <v>486</v>
      </c>
      <c r="AC251" s="279" t="s">
        <v>490</v>
      </c>
      <c r="AD251" s="279" t="s">
        <v>491</v>
      </c>
      <c r="AE251" s="279">
        <v>86522</v>
      </c>
      <c r="AF251" s="279" t="s">
        <v>473</v>
      </c>
      <c r="AG251" s="279"/>
      <c r="AH251" s="279"/>
      <c r="AI251" s="279">
        <v>20231012</v>
      </c>
      <c r="AJ251" s="462" t="s">
        <v>937</v>
      </c>
      <c r="AK251" s="279"/>
      <c r="AL251" s="279" t="str">
        <f>IF(AB251="Y","단종모델",LEFT(N251,3)&amp;IFERROR(VLOOKUP(LEFT(N251,3)&amp;P251,#REF!,2,0),""))</f>
        <v>GNS</v>
      </c>
      <c r="AM251" s="469" t="str">
        <f>O251&amp;" "&amp;Q251&amp;" "&amp;R251</f>
        <v>GV80 ('24년 선구매) 가솔린 터보 2.5 AWD 5인승</v>
      </c>
      <c r="AN251" s="279">
        <f>G251</f>
        <v>69300000</v>
      </c>
      <c r="AO251" s="279">
        <f>H251</f>
        <v>2497</v>
      </c>
      <c r="AP251" s="279" t="str">
        <f>LEFT(K251,1)</f>
        <v>M</v>
      </c>
      <c r="AQ251" s="279">
        <f>J251</f>
        <v>5</v>
      </c>
      <c r="AR251" s="279" t="str">
        <f>RIGHT(D251,2)</f>
        <v>RV</v>
      </c>
      <c r="AS251" s="279" t="str">
        <f>MID(W251,4,3)</f>
        <v>승용</v>
      </c>
      <c r="AT251" s="279" t="str">
        <f>RIGHT(AC251,2)</f>
        <v>7급</v>
      </c>
      <c r="AU251" s="279" t="str">
        <f>AB251</f>
        <v>03:울산대형</v>
      </c>
      <c r="AV251" s="279">
        <f>IF(AND(BE251="기아",AQ251&lt;7),1900,IF(AND(BE251="기아",AQ251&gt;6,AQ251&lt;11),2500,IF(AND(BE251="기아",AQ251&gt;10),3500,IF(AND(BE251="KG모빌리티",AQ251&lt;7),3650,IF(AND(BE251="KG모빌리티",AQ251&gt;6),4300,0)))))</f>
        <v>0</v>
      </c>
      <c r="AW251" s="279" t="str">
        <f>LEFT(F251,1)</f>
        <v>D</v>
      </c>
      <c r="AX251" s="279" t="str">
        <f>AJ251</f>
        <v>전략P</v>
      </c>
      <c r="AY251" s="468">
        <v>0.02</v>
      </c>
      <c r="AZ251" s="468"/>
      <c r="BA251" s="279" t="s">
        <v>1687</v>
      </c>
      <c r="BB251" s="279" t="s">
        <v>1552</v>
      </c>
      <c r="BC251" s="279"/>
      <c r="BD251" s="279" t="s">
        <v>1184</v>
      </c>
      <c r="BE251" s="279" t="str">
        <f>M251</f>
        <v>제네시스</v>
      </c>
      <c r="BF251" s="581">
        <v>4.1000000000000002E-2</v>
      </c>
      <c r="BG251" s="281">
        <v>82000</v>
      </c>
      <c r="BH251" s="281">
        <v>0</v>
      </c>
      <c r="BI251" s="279" t="s">
        <v>1992</v>
      </c>
      <c r="BJ251" s="279"/>
      <c r="BK251" s="279"/>
      <c r="BL251" s="279"/>
      <c r="BM251" s="279" t="s">
        <v>1547</v>
      </c>
      <c r="BO251" s="279"/>
      <c r="BP251" s="500">
        <f t="shared" si="320"/>
        <v>6.2E-2</v>
      </c>
      <c r="BQ251" s="973">
        <f>BP251-0.007</f>
        <v>5.5E-2</v>
      </c>
    </row>
    <row r="252" spans="1:69" s="460" customFormat="1" ht="15" customHeight="1">
      <c r="A252" s="281">
        <v>241</v>
      </c>
      <c r="B252" s="279">
        <v>460387090</v>
      </c>
      <c r="C252" s="279" t="s">
        <v>472</v>
      </c>
      <c r="D252" s="279" t="s">
        <v>473</v>
      </c>
      <c r="E252" s="279" t="s">
        <v>482</v>
      </c>
      <c r="F252" s="279" t="s">
        <v>474</v>
      </c>
      <c r="G252" s="279">
        <v>61700000</v>
      </c>
      <c r="H252" s="279">
        <v>2497</v>
      </c>
      <c r="I252" s="279">
        <v>0</v>
      </c>
      <c r="J252" s="279">
        <v>5</v>
      </c>
      <c r="K252" s="279" t="s">
        <v>475</v>
      </c>
      <c r="L252" s="279">
        <v>0</v>
      </c>
      <c r="M252" s="279" t="s">
        <v>98</v>
      </c>
      <c r="N252" s="279" t="s">
        <v>544</v>
      </c>
      <c r="O252" s="279" t="s">
        <v>1433</v>
      </c>
      <c r="P252" s="279" t="s">
        <v>1433</v>
      </c>
      <c r="Q252" s="279" t="s">
        <v>1952</v>
      </c>
      <c r="R252" s="279"/>
      <c r="S252" s="279">
        <v>65</v>
      </c>
      <c r="T252" s="279">
        <v>9.9</v>
      </c>
      <c r="U252" s="279" t="s">
        <v>531</v>
      </c>
      <c r="V252" s="279" t="s">
        <v>531</v>
      </c>
      <c r="W252" s="279" t="s">
        <v>473</v>
      </c>
      <c r="X252" s="279" t="s">
        <v>484</v>
      </c>
      <c r="Y252" s="279"/>
      <c r="Z252" s="279"/>
      <c r="AA252" s="279"/>
      <c r="AB252" s="279" t="s">
        <v>486</v>
      </c>
      <c r="AC252" s="279" t="s">
        <v>1432</v>
      </c>
      <c r="AD252" s="279" t="s">
        <v>491</v>
      </c>
      <c r="AE252" s="279">
        <v>87090</v>
      </c>
      <c r="AF252" s="279" t="s">
        <v>473</v>
      </c>
      <c r="AG252" s="279"/>
      <c r="AH252" s="279"/>
      <c r="AI252" s="279">
        <v>20240510</v>
      </c>
      <c r="AJ252" s="462" t="s">
        <v>937</v>
      </c>
      <c r="AK252" s="279"/>
      <c r="AL252" s="279" t="str">
        <f>IF(AB252="Y","단종모델",LEFT(N252,3)&amp;IFERROR(VLOOKUP(LEFT(N252,3)&amp;P252,#REF!,2,0),""))</f>
        <v>GNS</v>
      </c>
      <c r="AM252" s="469" t="str">
        <f t="shared" si="358"/>
        <v xml:space="preserve">G80 ('24년 선구매) 가솔린 터보 2.5 </v>
      </c>
      <c r="AN252" s="279">
        <f t="shared" si="311"/>
        <v>61700000</v>
      </c>
      <c r="AO252" s="279">
        <f t="shared" si="356"/>
        <v>2497</v>
      </c>
      <c r="AP252" s="279" t="str">
        <f t="shared" si="313"/>
        <v>M</v>
      </c>
      <c r="AQ252" s="279">
        <f t="shared" si="314"/>
        <v>5</v>
      </c>
      <c r="AR252" s="279" t="str">
        <f t="shared" si="315"/>
        <v>승용</v>
      </c>
      <c r="AS252" s="279" t="str">
        <f t="shared" si="316"/>
        <v>승용</v>
      </c>
      <c r="AT252" s="279" t="str">
        <f t="shared" si="317"/>
        <v>5급</v>
      </c>
      <c r="AU252" s="279" t="str">
        <f t="shared" si="318"/>
        <v>03:울산대형</v>
      </c>
      <c r="AV252" s="279">
        <f t="shared" si="351"/>
        <v>0</v>
      </c>
      <c r="AW252" s="279" t="str">
        <f t="shared" si="360"/>
        <v>D</v>
      </c>
      <c r="AX252" s="279" t="str">
        <f t="shared" si="362"/>
        <v>전략P</v>
      </c>
      <c r="AY252" s="468">
        <v>0.02</v>
      </c>
      <c r="AZ252" s="468"/>
      <c r="BA252" s="279" t="s">
        <v>1550</v>
      </c>
      <c r="BB252" s="279" t="s">
        <v>1552</v>
      </c>
      <c r="BC252" s="279"/>
      <c r="BD252" s="279" t="s">
        <v>1184</v>
      </c>
      <c r="BE252" s="279" t="str">
        <f t="shared" si="363"/>
        <v>제네시스</v>
      </c>
      <c r="BF252" s="581">
        <v>4.1000000000000002E-2</v>
      </c>
      <c r="BG252" s="281">
        <v>80000</v>
      </c>
      <c r="BH252" s="281">
        <v>0</v>
      </c>
      <c r="BI252" s="279" t="s">
        <v>1992</v>
      </c>
      <c r="BJ252" s="279"/>
      <c r="BK252" s="279"/>
      <c r="BL252" s="279"/>
      <c r="BM252" s="279" t="s">
        <v>1547</v>
      </c>
      <c r="BO252" s="279">
        <v>0.4</v>
      </c>
      <c r="BP252" s="500">
        <f t="shared" si="320"/>
        <v>5.7999999999999996E-2</v>
      </c>
      <c r="BQ252" s="973">
        <f t="shared" si="321"/>
        <v>5.0999999999999997E-2</v>
      </c>
    </row>
    <row r="253" spans="1:69" s="460" customFormat="1" ht="15" customHeight="1">
      <c r="A253" s="281">
        <v>242</v>
      </c>
      <c r="B253" s="279">
        <v>462288289</v>
      </c>
      <c r="C253" s="279" t="s">
        <v>527</v>
      </c>
      <c r="D253" s="279" t="s">
        <v>528</v>
      </c>
      <c r="E253" s="279" t="s">
        <v>482</v>
      </c>
      <c r="F253" s="279" t="s">
        <v>474</v>
      </c>
      <c r="G253" s="279">
        <v>33950000</v>
      </c>
      <c r="H253" s="279">
        <v>1497</v>
      </c>
      <c r="I253" s="279">
        <v>0</v>
      </c>
      <c r="J253" s="279">
        <v>5</v>
      </c>
      <c r="K253" s="279" t="s">
        <v>475</v>
      </c>
      <c r="L253" s="279">
        <v>0</v>
      </c>
      <c r="M253" s="279" t="s">
        <v>956</v>
      </c>
      <c r="N253" s="279" t="s">
        <v>995</v>
      </c>
      <c r="O253" s="279" t="s">
        <v>1762</v>
      </c>
      <c r="P253" s="279" t="s">
        <v>1763</v>
      </c>
      <c r="Q253" s="277" t="s">
        <v>1954</v>
      </c>
      <c r="R253" s="467" t="s">
        <v>984</v>
      </c>
      <c r="S253" s="279">
        <v>50</v>
      </c>
      <c r="T253" s="279">
        <v>11</v>
      </c>
      <c r="U253" s="279" t="s">
        <v>573</v>
      </c>
      <c r="V253" s="279" t="s">
        <v>573</v>
      </c>
      <c r="W253" s="279" t="s">
        <v>473</v>
      </c>
      <c r="X253" s="279" t="s">
        <v>478</v>
      </c>
      <c r="Y253" s="279"/>
      <c r="Z253" s="279"/>
      <c r="AA253" s="279"/>
      <c r="AB253" s="279" t="s">
        <v>26</v>
      </c>
      <c r="AC253" s="279" t="s">
        <v>490</v>
      </c>
      <c r="AD253" s="279" t="s">
        <v>491</v>
      </c>
      <c r="AE253" s="279">
        <v>88289</v>
      </c>
      <c r="AF253" s="279" t="s">
        <v>473</v>
      </c>
      <c r="AG253" s="279"/>
      <c r="AH253" s="279">
        <v>0</v>
      </c>
      <c r="AI253" s="279">
        <v>20240819</v>
      </c>
      <c r="AJ253" s="462" t="s">
        <v>1151</v>
      </c>
      <c r="AK253" s="279"/>
      <c r="AL253" s="279" t="str">
        <f>IF(AB253="Y","단종모델",LEFT(N253,3)&amp;IFERROR(VLOOKUP(LEFT(N253,3)&amp;P253,#REF!,2,0),""))</f>
        <v>SSY</v>
      </c>
      <c r="AM253" s="469" t="str">
        <f t="shared" si="358"/>
        <v>액티언 ('24년 선구매) 가솔린 터보 1.5 2WD</v>
      </c>
      <c r="AN253" s="279">
        <f t="shared" si="311"/>
        <v>33950000</v>
      </c>
      <c r="AO253" s="279">
        <f t="shared" si="356"/>
        <v>1497</v>
      </c>
      <c r="AP253" s="279" t="str">
        <f t="shared" si="313"/>
        <v>M</v>
      </c>
      <c r="AQ253" s="279">
        <f t="shared" si="314"/>
        <v>5</v>
      </c>
      <c r="AR253" s="279" t="str">
        <f t="shared" si="315"/>
        <v>RV</v>
      </c>
      <c r="AS253" s="279" t="str">
        <f t="shared" si="316"/>
        <v>승용</v>
      </c>
      <c r="AT253" s="279" t="str">
        <f t="shared" si="317"/>
        <v>7급</v>
      </c>
      <c r="AU253" s="279" t="str">
        <f t="shared" si="318"/>
        <v>12:평택</v>
      </c>
      <c r="AV253" s="279">
        <f t="shared" si="351"/>
        <v>3650</v>
      </c>
      <c r="AW253" s="279" t="str">
        <f t="shared" si="360"/>
        <v>D</v>
      </c>
      <c r="AX253" s="279" t="str">
        <f t="shared" si="362"/>
        <v>전략</v>
      </c>
      <c r="AY253" s="975">
        <v>0.04</v>
      </c>
      <c r="AZ253" s="468"/>
      <c r="BA253" s="1368" t="s">
        <v>1634</v>
      </c>
      <c r="BB253" s="279" t="s">
        <v>817</v>
      </c>
      <c r="BC253" s="279"/>
      <c r="BD253" s="279" t="s">
        <v>1474</v>
      </c>
      <c r="BE253" s="279" t="str">
        <f t="shared" si="363"/>
        <v>KG모빌리티</v>
      </c>
      <c r="BF253" s="581">
        <v>4.1000000000000002E-2</v>
      </c>
      <c r="BG253" s="281">
        <v>0</v>
      </c>
      <c r="BH253" s="281">
        <v>0</v>
      </c>
      <c r="BI253" s="279" t="s">
        <v>1992</v>
      </c>
      <c r="BJ253" s="279"/>
      <c r="BK253" s="279"/>
      <c r="BL253" s="279"/>
      <c r="BM253" s="279" t="s">
        <v>1548</v>
      </c>
      <c r="BO253" s="279"/>
      <c r="BP253" s="500">
        <f t="shared" si="320"/>
        <v>6.8000000000000005E-2</v>
      </c>
      <c r="BQ253" s="973">
        <f t="shared" si="321"/>
        <v>6.1000000000000006E-2</v>
      </c>
    </row>
    <row r="254" spans="1:69" s="460" customFormat="1" ht="15" customHeight="1">
      <c r="A254" s="281"/>
      <c r="B254" s="279"/>
      <c r="C254" s="279"/>
      <c r="D254" s="279"/>
      <c r="E254" s="279"/>
      <c r="F254" s="279"/>
      <c r="G254" s="279"/>
      <c r="H254" s="279"/>
      <c r="I254" s="279"/>
      <c r="J254" s="279"/>
      <c r="K254" s="279"/>
      <c r="L254" s="279"/>
      <c r="M254" s="279"/>
      <c r="N254" s="279"/>
      <c r="O254" s="279"/>
      <c r="P254" s="279"/>
      <c r="Q254" s="277"/>
      <c r="R254" s="279"/>
      <c r="S254" s="279"/>
      <c r="T254" s="279"/>
      <c r="U254" s="279"/>
      <c r="V254" s="279"/>
      <c r="W254" s="279"/>
      <c r="X254" s="279"/>
      <c r="Y254" s="279"/>
      <c r="Z254" s="279"/>
      <c r="AA254" s="279"/>
      <c r="AB254" s="279"/>
      <c r="AC254" s="279"/>
      <c r="AD254" s="279"/>
      <c r="AE254" s="279"/>
      <c r="AF254" s="279"/>
      <c r="AG254" s="279"/>
      <c r="AH254" s="279"/>
      <c r="AI254" s="279"/>
      <c r="AJ254" s="462"/>
      <c r="AK254" s="279"/>
      <c r="AL254" s="279" t="str">
        <f>IF(AB254="Y","단종모델",LEFT(N254,3)&amp;IFERROR(VLOOKUP(LEFT(N254,3)&amp;P254,#REF!,2,0),""))</f>
        <v/>
      </c>
      <c r="AM254" s="469" t="str">
        <f t="shared" si="358"/>
        <v xml:space="preserve">  </v>
      </c>
      <c r="AN254" s="279"/>
      <c r="AO254" s="279"/>
      <c r="AP254" s="279"/>
      <c r="AQ254" s="279"/>
      <c r="AR254" s="279"/>
      <c r="AS254" s="279"/>
      <c r="AT254" s="279"/>
      <c r="AU254" s="279"/>
      <c r="AV254" s="279"/>
      <c r="AW254" s="279"/>
      <c r="AX254" s="279"/>
      <c r="AY254" s="488"/>
      <c r="AZ254" s="488"/>
      <c r="BA254" s="279"/>
      <c r="BB254" s="279"/>
      <c r="BC254" s="279"/>
      <c r="BD254" s="279"/>
      <c r="BE254" s="279"/>
      <c r="BF254" s="279"/>
      <c r="BG254" s="281"/>
      <c r="BH254" s="281"/>
      <c r="BI254" s="279"/>
      <c r="BJ254" s="279"/>
      <c r="BK254" s="279"/>
      <c r="BL254" s="279"/>
      <c r="BM254" s="279"/>
      <c r="BN254" s="279"/>
      <c r="BO254" s="279"/>
      <c r="BP254" s="500"/>
      <c r="BQ254" s="279"/>
    </row>
    <row r="255" spans="1:69" s="460" customFormat="1" ht="15" customHeight="1">
      <c r="A255" s="281"/>
      <c r="B255" s="279"/>
      <c r="C255" s="279"/>
      <c r="D255" s="279"/>
      <c r="E255" s="279"/>
      <c r="F255" s="279"/>
      <c r="G255" s="279"/>
      <c r="H255" s="279"/>
      <c r="I255" s="279"/>
      <c r="J255" s="279"/>
      <c r="K255" s="279"/>
      <c r="L255" s="279"/>
      <c r="M255" s="279"/>
      <c r="N255" s="279"/>
      <c r="O255" s="279"/>
      <c r="P255" s="279"/>
      <c r="Q255" s="277"/>
      <c r="R255" s="279"/>
      <c r="S255" s="279"/>
      <c r="T255" s="279"/>
      <c r="U255" s="279"/>
      <c r="V255" s="279"/>
      <c r="W255" s="279"/>
      <c r="X255" s="279"/>
      <c r="Y255" s="279"/>
      <c r="Z255" s="279"/>
      <c r="AA255" s="279"/>
      <c r="AB255" s="279"/>
      <c r="AC255" s="279"/>
      <c r="AD255" s="279"/>
      <c r="AE255" s="279"/>
      <c r="AF255" s="279"/>
      <c r="AG255" s="279"/>
      <c r="AH255" s="279"/>
      <c r="AI255" s="279"/>
      <c r="AJ255" s="462"/>
      <c r="AK255" s="279"/>
      <c r="AL255" s="279" t="str">
        <f>IF(AB255="Y","단종모델",LEFT(N255,3)&amp;IFERROR(VLOOKUP(LEFT(N255,3)&amp;P255,#REF!,2,0),""))</f>
        <v/>
      </c>
      <c r="AM255" s="469" t="str">
        <f t="shared" si="358"/>
        <v xml:space="preserve">  </v>
      </c>
      <c r="AN255" s="279"/>
      <c r="AO255" s="279"/>
      <c r="AP255" s="279"/>
      <c r="AQ255" s="279"/>
      <c r="AR255" s="279"/>
      <c r="AS255" s="279"/>
      <c r="AT255" s="279"/>
      <c r="AU255" s="279"/>
      <c r="AV255" s="279"/>
      <c r="AW255" s="279"/>
      <c r="AX255" s="279"/>
      <c r="AY255" s="488"/>
      <c r="AZ255" s="488"/>
      <c r="BA255" s="279"/>
      <c r="BB255" s="279"/>
      <c r="BC255" s="279"/>
      <c r="BD255" s="279"/>
      <c r="BE255" s="279"/>
      <c r="BF255" s="279"/>
      <c r="BG255" s="281"/>
      <c r="BH255" s="281"/>
      <c r="BI255" s="279"/>
      <c r="BJ255" s="279"/>
      <c r="BK255" s="279"/>
      <c r="BL255" s="279"/>
      <c r="BM255" s="279"/>
      <c r="BN255" s="279"/>
      <c r="BO255" s="279"/>
      <c r="BP255" s="500"/>
      <c r="BQ255" s="279"/>
    </row>
    <row r="256" spans="1:69" s="460" customFormat="1" ht="15" customHeight="1">
      <c r="A256" s="281"/>
      <c r="B256" s="279"/>
      <c r="C256" s="279"/>
      <c r="D256" s="279"/>
      <c r="E256" s="279"/>
      <c r="F256" s="279"/>
      <c r="G256" s="279"/>
      <c r="H256" s="279"/>
      <c r="I256" s="279"/>
      <c r="J256" s="279"/>
      <c r="K256" s="279"/>
      <c r="L256" s="279"/>
      <c r="M256" s="279"/>
      <c r="N256" s="279"/>
      <c r="O256" s="279"/>
      <c r="P256" s="279"/>
      <c r="Q256" s="277"/>
      <c r="R256" s="279"/>
      <c r="S256" s="279"/>
      <c r="T256" s="279"/>
      <c r="U256" s="279"/>
      <c r="V256" s="279"/>
      <c r="W256" s="279"/>
      <c r="X256" s="279"/>
      <c r="Y256" s="279"/>
      <c r="Z256" s="279"/>
      <c r="AA256" s="279"/>
      <c r="AB256" s="279"/>
      <c r="AC256" s="279"/>
      <c r="AD256" s="279"/>
      <c r="AE256" s="279"/>
      <c r="AF256" s="279"/>
      <c r="AG256" s="279"/>
      <c r="AH256" s="279"/>
      <c r="AI256" s="279"/>
      <c r="AJ256" s="462"/>
      <c r="AK256" s="279"/>
      <c r="AL256" s="279" t="str">
        <f>IF(AB256="Y","단종모델",LEFT(N256,3)&amp;IFERROR(VLOOKUP(LEFT(N256,3)&amp;P256,#REF!,2,0),""))</f>
        <v/>
      </c>
      <c r="AM256" s="469" t="str">
        <f t="shared" si="358"/>
        <v xml:space="preserve">  </v>
      </c>
      <c r="AN256" s="279"/>
      <c r="AO256" s="279"/>
      <c r="AP256" s="279"/>
      <c r="AQ256" s="279"/>
      <c r="AR256" s="279"/>
      <c r="AS256" s="279"/>
      <c r="AT256" s="279"/>
      <c r="AU256" s="279"/>
      <c r="AV256" s="279"/>
      <c r="AW256" s="279"/>
      <c r="AX256" s="279"/>
      <c r="AY256" s="488"/>
      <c r="AZ256" s="488"/>
      <c r="BA256" s="279"/>
      <c r="BB256" s="279"/>
      <c r="BC256" s="279"/>
      <c r="BD256" s="279"/>
      <c r="BE256" s="279"/>
      <c r="BF256" s="279"/>
      <c r="BG256" s="281"/>
      <c r="BH256" s="281"/>
      <c r="BI256" s="279"/>
      <c r="BJ256" s="279"/>
      <c r="BK256" s="279"/>
      <c r="BL256" s="279"/>
      <c r="BM256" s="279"/>
      <c r="BN256" s="279"/>
      <c r="BO256" s="279"/>
      <c r="BP256" s="500"/>
      <c r="BQ256" s="279"/>
    </row>
    <row r="257" spans="1:69" s="460" customFormat="1" ht="15" customHeight="1">
      <c r="A257" s="281"/>
      <c r="B257" s="279"/>
      <c r="C257" s="279"/>
      <c r="D257" s="279"/>
      <c r="E257" s="279"/>
      <c r="F257" s="279"/>
      <c r="G257" s="279"/>
      <c r="H257" s="279"/>
      <c r="I257" s="279"/>
      <c r="J257" s="279"/>
      <c r="K257" s="279"/>
      <c r="L257" s="279"/>
      <c r="M257" s="279"/>
      <c r="N257" s="279"/>
      <c r="O257" s="279"/>
      <c r="P257" s="279"/>
      <c r="Q257" s="277"/>
      <c r="R257" s="279"/>
      <c r="S257" s="279"/>
      <c r="T257" s="279"/>
      <c r="U257" s="279"/>
      <c r="V257" s="279"/>
      <c r="W257" s="279"/>
      <c r="X257" s="279"/>
      <c r="Y257" s="279"/>
      <c r="Z257" s="279"/>
      <c r="AA257" s="279"/>
      <c r="AB257" s="279"/>
      <c r="AC257" s="279"/>
      <c r="AD257" s="279"/>
      <c r="AE257" s="279"/>
      <c r="AF257" s="279"/>
      <c r="AG257" s="279"/>
      <c r="AH257" s="279"/>
      <c r="AI257" s="279"/>
      <c r="AJ257" s="462"/>
      <c r="AK257" s="279"/>
      <c r="AL257" s="279" t="str">
        <f>IF(AB257="Y","단종모델",LEFT(N257,3)&amp;IFERROR(VLOOKUP(LEFT(N257,3)&amp;P257,#REF!,2,0),""))</f>
        <v/>
      </c>
      <c r="AM257" s="469" t="str">
        <f t="shared" si="358"/>
        <v xml:space="preserve">  </v>
      </c>
      <c r="AN257" s="279"/>
      <c r="AO257" s="279"/>
      <c r="AP257" s="279"/>
      <c r="AQ257" s="279"/>
      <c r="AR257" s="279"/>
      <c r="AS257" s="279"/>
      <c r="AT257" s="279"/>
      <c r="AU257" s="279"/>
      <c r="AV257" s="279"/>
      <c r="AW257" s="279"/>
      <c r="AX257" s="279"/>
      <c r="AY257" s="488"/>
      <c r="AZ257" s="488"/>
      <c r="BA257" s="279"/>
      <c r="BB257" s="279"/>
      <c r="BC257" s="279"/>
      <c r="BD257" s="279"/>
      <c r="BE257" s="279"/>
      <c r="BF257" s="279"/>
      <c r="BG257" s="281"/>
      <c r="BH257" s="281"/>
      <c r="BI257" s="279"/>
      <c r="BJ257" s="279"/>
      <c r="BK257" s="279"/>
      <c r="BL257" s="279"/>
      <c r="BM257" s="279"/>
      <c r="BN257" s="279"/>
      <c r="BO257" s="279"/>
      <c r="BP257" s="500"/>
      <c r="BQ257" s="279"/>
    </row>
    <row r="258" spans="1:69" s="460" customFormat="1" ht="15" customHeight="1">
      <c r="A258" s="281"/>
      <c r="B258" s="279"/>
      <c r="C258" s="279"/>
      <c r="D258" s="279"/>
      <c r="E258" s="279"/>
      <c r="F258" s="279"/>
      <c r="G258" s="279"/>
      <c r="H258" s="279"/>
      <c r="I258" s="279"/>
      <c r="J258" s="279"/>
      <c r="K258" s="279"/>
      <c r="L258" s="279"/>
      <c r="M258" s="279"/>
      <c r="N258" s="279"/>
      <c r="O258" s="279"/>
      <c r="P258" s="279"/>
      <c r="Q258" s="279"/>
      <c r="R258" s="279"/>
      <c r="S258" s="279"/>
      <c r="T258" s="279"/>
      <c r="U258" s="279"/>
      <c r="V258" s="279"/>
      <c r="W258" s="279"/>
      <c r="X258" s="279"/>
      <c r="Y258" s="279"/>
      <c r="Z258" s="279"/>
      <c r="AA258" s="279"/>
      <c r="AB258" s="279"/>
      <c r="AC258" s="279"/>
      <c r="AD258" s="279"/>
      <c r="AE258" s="279"/>
      <c r="AF258" s="279"/>
      <c r="AG258" s="279"/>
      <c r="AH258" s="279"/>
      <c r="AI258" s="279"/>
      <c r="AJ258" s="462"/>
      <c r="AK258" s="279"/>
      <c r="AL258" s="279" t="str">
        <f>IF(AB258="Y","단종모델",LEFT(N258,3)&amp;IFERROR(VLOOKUP(LEFT(N258,3)&amp;P258,#REF!,2,0),""))</f>
        <v/>
      </c>
      <c r="AM258" s="469" t="str">
        <f t="shared" si="358"/>
        <v xml:space="preserve">  </v>
      </c>
      <c r="AN258" s="279"/>
      <c r="AO258" s="279"/>
      <c r="AP258" s="279"/>
      <c r="AQ258" s="279"/>
      <c r="AR258" s="279"/>
      <c r="AS258" s="279"/>
      <c r="AT258" s="279"/>
      <c r="AU258" s="279"/>
      <c r="AV258" s="279"/>
      <c r="AW258" s="279"/>
      <c r="AX258" s="279"/>
      <c r="AY258" s="488"/>
      <c r="AZ258" s="488"/>
      <c r="BA258" s="279"/>
      <c r="BB258" s="279"/>
      <c r="BC258" s="279"/>
      <c r="BD258" s="279"/>
      <c r="BE258" s="279"/>
      <c r="BF258" s="279"/>
      <c r="BG258" s="281"/>
      <c r="BH258" s="281"/>
      <c r="BI258" s="279"/>
      <c r="BJ258" s="279"/>
      <c r="BK258" s="279"/>
      <c r="BL258" s="279"/>
      <c r="BM258" s="279"/>
      <c r="BN258" s="279"/>
      <c r="BO258" s="279"/>
      <c r="BP258" s="500"/>
      <c r="BQ258" s="279"/>
    </row>
    <row r="259" spans="1:69" s="460" customFormat="1" ht="15" customHeight="1">
      <c r="A259" s="281"/>
      <c r="B259" s="279"/>
      <c r="C259" s="279"/>
      <c r="D259" s="279"/>
      <c r="E259" s="279"/>
      <c r="F259" s="279"/>
      <c r="G259" s="279"/>
      <c r="H259" s="279"/>
      <c r="I259" s="279"/>
      <c r="J259" s="279"/>
      <c r="K259" s="279"/>
      <c r="L259" s="279"/>
      <c r="M259" s="279"/>
      <c r="N259" s="279"/>
      <c r="O259" s="279"/>
      <c r="P259" s="279"/>
      <c r="Q259" s="279"/>
      <c r="R259" s="279"/>
      <c r="S259" s="279"/>
      <c r="T259" s="279"/>
      <c r="U259" s="279"/>
      <c r="V259" s="279"/>
      <c r="W259" s="279"/>
      <c r="X259" s="279"/>
      <c r="Y259" s="279"/>
      <c r="Z259" s="279"/>
      <c r="AA259" s="279"/>
      <c r="AB259" s="279"/>
      <c r="AC259" s="279"/>
      <c r="AD259" s="279"/>
      <c r="AE259" s="279"/>
      <c r="AF259" s="279"/>
      <c r="AG259" s="279"/>
      <c r="AH259" s="279"/>
      <c r="AI259" s="279"/>
      <c r="AJ259" s="462"/>
      <c r="AK259" s="279"/>
      <c r="AL259" s="279" t="str">
        <f>IF(AB259="Y","단종모델",LEFT(N259,3)&amp;IFERROR(VLOOKUP(LEFT(N259,3)&amp;P259,#REF!,2,0),""))</f>
        <v/>
      </c>
      <c r="AM259" s="469" t="str">
        <f t="shared" si="358"/>
        <v xml:space="preserve">  </v>
      </c>
      <c r="AN259" s="279"/>
      <c r="AO259" s="279"/>
      <c r="AP259" s="279"/>
      <c r="AQ259" s="279"/>
      <c r="AR259" s="279"/>
      <c r="AS259" s="279"/>
      <c r="AT259" s="279"/>
      <c r="AU259" s="279"/>
      <c r="AV259" s="279"/>
      <c r="AW259" s="279"/>
      <c r="AX259" s="279"/>
      <c r="AY259" s="488"/>
      <c r="AZ259" s="488"/>
      <c r="BA259" s="279"/>
      <c r="BB259" s="279"/>
      <c r="BC259" s="279"/>
      <c r="BD259" s="279"/>
      <c r="BE259" s="279"/>
      <c r="BF259" s="279"/>
      <c r="BG259" s="281"/>
      <c r="BH259" s="281"/>
      <c r="BI259" s="279"/>
      <c r="BJ259" s="279"/>
      <c r="BK259" s="279"/>
      <c r="BL259" s="279"/>
      <c r="BM259" s="279"/>
      <c r="BN259" s="279"/>
      <c r="BO259" s="279"/>
      <c r="BP259" s="500"/>
      <c r="BQ259" s="279"/>
    </row>
    <row r="260" spans="1:69" s="460" customFormat="1" ht="15" customHeight="1">
      <c r="A260" s="281"/>
      <c r="B260" s="279"/>
      <c r="C260" s="279"/>
      <c r="D260" s="279"/>
      <c r="E260" s="279"/>
      <c r="F260" s="279"/>
      <c r="G260" s="279"/>
      <c r="H260" s="279"/>
      <c r="I260" s="279"/>
      <c r="J260" s="279"/>
      <c r="K260" s="279"/>
      <c r="L260" s="279"/>
      <c r="M260" s="279"/>
      <c r="N260" s="279"/>
      <c r="O260" s="279"/>
      <c r="P260" s="279"/>
      <c r="Q260" s="279"/>
      <c r="R260" s="279"/>
      <c r="S260" s="279"/>
      <c r="T260" s="279"/>
      <c r="U260" s="279"/>
      <c r="V260" s="279"/>
      <c r="W260" s="279"/>
      <c r="X260" s="279"/>
      <c r="Y260" s="279"/>
      <c r="Z260" s="279"/>
      <c r="AA260" s="279"/>
      <c r="AB260" s="279"/>
      <c r="AC260" s="279"/>
      <c r="AD260" s="279"/>
      <c r="AE260" s="279"/>
      <c r="AF260" s="279"/>
      <c r="AG260" s="279"/>
      <c r="AH260" s="279"/>
      <c r="AI260" s="279"/>
      <c r="AJ260" s="462"/>
      <c r="AK260" s="279"/>
      <c r="AL260" s="279" t="str">
        <f>IF(AB260="Y","단종모델",LEFT(N260,3)&amp;IFERROR(VLOOKUP(LEFT(N260,3)&amp;P260,#REF!,2,0),""))</f>
        <v/>
      </c>
      <c r="AM260" s="469" t="str">
        <f t="shared" si="358"/>
        <v xml:space="preserve">  </v>
      </c>
      <c r="AN260" s="279"/>
      <c r="AO260" s="279"/>
      <c r="AP260" s="279"/>
      <c r="AQ260" s="279"/>
      <c r="AR260" s="279"/>
      <c r="AS260" s="279"/>
      <c r="AT260" s="279"/>
      <c r="AU260" s="279"/>
      <c r="AV260" s="279"/>
      <c r="AW260" s="279"/>
      <c r="AX260" s="279"/>
      <c r="AY260" s="488"/>
      <c r="AZ260" s="488"/>
      <c r="BA260" s="279"/>
      <c r="BB260" s="279"/>
      <c r="BC260" s="279"/>
      <c r="BD260" s="279"/>
      <c r="BE260" s="279"/>
      <c r="BF260" s="279"/>
      <c r="BG260" s="281"/>
      <c r="BH260" s="281"/>
      <c r="BI260" s="279"/>
      <c r="BJ260" s="279"/>
      <c r="BK260" s="279"/>
      <c r="BL260" s="279"/>
      <c r="BM260" s="279"/>
      <c r="BN260" s="279"/>
      <c r="BO260" s="279"/>
      <c r="BP260" s="500"/>
      <c r="BQ260" s="279"/>
    </row>
    <row r="261" spans="1:69" s="460" customFormat="1" ht="15" customHeight="1">
      <c r="A261" s="281"/>
      <c r="B261" s="279"/>
      <c r="C261" s="279"/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279"/>
      <c r="S261" s="279"/>
      <c r="T261" s="279"/>
      <c r="U261" s="279"/>
      <c r="V261" s="279"/>
      <c r="W261" s="279"/>
      <c r="X261" s="279"/>
      <c r="Y261" s="279"/>
      <c r="Z261" s="279"/>
      <c r="AA261" s="279"/>
      <c r="AB261" s="279"/>
      <c r="AC261" s="279"/>
      <c r="AD261" s="279"/>
      <c r="AE261" s="279"/>
      <c r="AF261" s="279"/>
      <c r="AG261" s="279"/>
      <c r="AH261" s="279"/>
      <c r="AI261" s="279"/>
      <c r="AJ261" s="462"/>
      <c r="AK261" s="279"/>
      <c r="AL261" s="279" t="str">
        <f>IF(AB261="Y","단종모델",LEFT(N261,3)&amp;IFERROR(VLOOKUP(LEFT(N261,3)&amp;P261,#REF!,2,0),""))</f>
        <v/>
      </c>
      <c r="AM261" s="469" t="str">
        <f t="shared" si="358"/>
        <v xml:space="preserve">  </v>
      </c>
      <c r="AN261" s="279"/>
      <c r="AO261" s="279"/>
      <c r="AP261" s="279"/>
      <c r="AQ261" s="279"/>
      <c r="AR261" s="279"/>
      <c r="AS261" s="279"/>
      <c r="AT261" s="279"/>
      <c r="AU261" s="279"/>
      <c r="AV261" s="279"/>
      <c r="AW261" s="279"/>
      <c r="AX261" s="279"/>
      <c r="AY261" s="488"/>
      <c r="AZ261" s="488"/>
      <c r="BA261" s="279"/>
      <c r="BB261" s="279"/>
      <c r="BC261" s="279"/>
      <c r="BD261" s="279"/>
      <c r="BE261" s="279"/>
      <c r="BF261" s="279"/>
      <c r="BG261" s="281"/>
      <c r="BH261" s="281"/>
      <c r="BI261" s="279"/>
      <c r="BJ261" s="279"/>
      <c r="BK261" s="279"/>
      <c r="BL261" s="279"/>
      <c r="BM261" s="279"/>
      <c r="BN261" s="279"/>
      <c r="BO261" s="279"/>
      <c r="BP261" s="500"/>
      <c r="BQ261" s="279"/>
    </row>
    <row r="262" spans="1:69" s="460" customFormat="1" ht="15" customHeight="1">
      <c r="A262" s="281"/>
      <c r="B262" s="279"/>
      <c r="C262" s="279"/>
      <c r="D262" s="279"/>
      <c r="E262" s="279"/>
      <c r="F262" s="279"/>
      <c r="G262" s="279"/>
      <c r="H262" s="279"/>
      <c r="I262" s="279"/>
      <c r="J262" s="279"/>
      <c r="K262" s="279"/>
      <c r="L262" s="279"/>
      <c r="M262" s="279"/>
      <c r="N262" s="279"/>
      <c r="O262" s="279"/>
      <c r="P262" s="279"/>
      <c r="Q262" s="279"/>
      <c r="R262" s="279"/>
      <c r="S262" s="279"/>
      <c r="T262" s="279"/>
      <c r="U262" s="279"/>
      <c r="V262" s="279"/>
      <c r="W262" s="279"/>
      <c r="X262" s="279"/>
      <c r="Y262" s="279"/>
      <c r="Z262" s="279"/>
      <c r="AA262" s="279"/>
      <c r="AB262" s="279"/>
      <c r="AC262" s="279"/>
      <c r="AD262" s="279"/>
      <c r="AE262" s="279"/>
      <c r="AF262" s="279"/>
      <c r="AG262" s="279"/>
      <c r="AH262" s="279"/>
      <c r="AI262" s="279"/>
      <c r="AJ262" s="462"/>
      <c r="AK262" s="279"/>
      <c r="AL262" s="279" t="str">
        <f>IF(AB262="Y","단종모델",LEFT(N262,3)&amp;IFERROR(VLOOKUP(LEFT(N262,3)&amp;P262,#REF!,2,0),""))</f>
        <v/>
      </c>
      <c r="AM262" s="469" t="str">
        <f t="shared" si="358"/>
        <v xml:space="preserve">  </v>
      </c>
      <c r="AN262" s="279"/>
      <c r="AO262" s="279"/>
      <c r="AP262" s="279"/>
      <c r="AQ262" s="279"/>
      <c r="AR262" s="279"/>
      <c r="AS262" s="279"/>
      <c r="AT262" s="279"/>
      <c r="AU262" s="279"/>
      <c r="AV262" s="279"/>
      <c r="AW262" s="279"/>
      <c r="AX262" s="279"/>
      <c r="AY262" s="488"/>
      <c r="AZ262" s="488"/>
      <c r="BA262" s="279"/>
      <c r="BB262" s="279"/>
      <c r="BC262" s="279"/>
      <c r="BD262" s="279"/>
      <c r="BE262" s="279"/>
      <c r="BF262" s="279"/>
      <c r="BG262" s="281"/>
      <c r="BH262" s="281"/>
      <c r="BI262" s="279"/>
      <c r="BJ262" s="279"/>
      <c r="BK262" s="279"/>
      <c r="BL262" s="279"/>
      <c r="BM262" s="279"/>
      <c r="BN262" s="279"/>
      <c r="BO262" s="279"/>
      <c r="BP262" s="500"/>
      <c r="BQ262" s="279"/>
    </row>
    <row r="263" spans="1:69" s="460" customFormat="1" ht="15" customHeight="1">
      <c r="A263" s="281"/>
      <c r="B263" s="279"/>
      <c r="C263" s="279"/>
      <c r="D263" s="279"/>
      <c r="E263" s="279"/>
      <c r="F263" s="279"/>
      <c r="G263" s="279"/>
      <c r="H263" s="279"/>
      <c r="I263" s="279"/>
      <c r="J263" s="279"/>
      <c r="K263" s="279"/>
      <c r="L263" s="279"/>
      <c r="M263" s="279"/>
      <c r="N263" s="279"/>
      <c r="O263" s="279"/>
      <c r="P263" s="279"/>
      <c r="Q263" s="279"/>
      <c r="R263" s="279"/>
      <c r="S263" s="279"/>
      <c r="T263" s="279"/>
      <c r="U263" s="279"/>
      <c r="V263" s="279"/>
      <c r="W263" s="279"/>
      <c r="X263" s="279"/>
      <c r="Y263" s="279"/>
      <c r="Z263" s="279"/>
      <c r="AA263" s="279"/>
      <c r="AB263" s="279"/>
      <c r="AC263" s="279"/>
      <c r="AD263" s="279"/>
      <c r="AE263" s="279"/>
      <c r="AF263" s="279"/>
      <c r="AG263" s="279"/>
      <c r="AH263" s="279"/>
      <c r="AI263" s="279"/>
      <c r="AJ263" s="462"/>
      <c r="AK263" s="279"/>
      <c r="AL263" s="279" t="str">
        <f>IF(AB263="Y","단종모델",LEFT(N263,3)&amp;IFERROR(VLOOKUP(LEFT(N263,3)&amp;P263,#REF!,2,0),""))</f>
        <v/>
      </c>
      <c r="AM263" s="469" t="str">
        <f t="shared" si="358"/>
        <v xml:space="preserve">  </v>
      </c>
      <c r="AN263" s="279"/>
      <c r="AO263" s="279"/>
      <c r="AP263" s="279"/>
      <c r="AQ263" s="279"/>
      <c r="AR263" s="279"/>
      <c r="AS263" s="279"/>
      <c r="AT263" s="279"/>
      <c r="AU263" s="279"/>
      <c r="AV263" s="279"/>
      <c r="AW263" s="279"/>
      <c r="AX263" s="279"/>
      <c r="AY263" s="488"/>
      <c r="AZ263" s="488"/>
      <c r="BA263" s="279"/>
      <c r="BB263" s="279"/>
      <c r="BC263" s="279"/>
      <c r="BD263" s="279"/>
      <c r="BE263" s="279"/>
      <c r="BF263" s="279"/>
      <c r="BG263" s="281"/>
      <c r="BH263" s="281"/>
      <c r="BI263" s="279"/>
      <c r="BJ263" s="279"/>
      <c r="BK263" s="279"/>
      <c r="BL263" s="279"/>
      <c r="BM263" s="279"/>
      <c r="BN263" s="279"/>
      <c r="BO263" s="279"/>
      <c r="BP263" s="500"/>
      <c r="BQ263" s="279"/>
    </row>
    <row r="264" spans="1:69" s="460" customFormat="1" ht="15" customHeight="1">
      <c r="A264" s="281"/>
      <c r="B264" s="279"/>
      <c r="C264" s="279"/>
      <c r="D264" s="279"/>
      <c r="E264" s="279"/>
      <c r="F264" s="279"/>
      <c r="G264" s="279"/>
      <c r="H264" s="279"/>
      <c r="I264" s="279"/>
      <c r="J264" s="279"/>
      <c r="K264" s="279"/>
      <c r="L264" s="279"/>
      <c r="M264" s="279"/>
      <c r="N264" s="279"/>
      <c r="O264" s="279"/>
      <c r="P264" s="279"/>
      <c r="Q264" s="279"/>
      <c r="R264" s="279"/>
      <c r="S264" s="279"/>
      <c r="T264" s="279"/>
      <c r="U264" s="279"/>
      <c r="V264" s="279"/>
      <c r="W264" s="279"/>
      <c r="X264" s="279"/>
      <c r="Y264" s="279"/>
      <c r="Z264" s="279"/>
      <c r="AA264" s="279"/>
      <c r="AB264" s="279"/>
      <c r="AC264" s="279"/>
      <c r="AD264" s="279"/>
      <c r="AE264" s="279"/>
      <c r="AF264" s="279"/>
      <c r="AG264" s="279"/>
      <c r="AH264" s="279"/>
      <c r="AI264" s="279"/>
      <c r="AJ264" s="462"/>
      <c r="AK264" s="279"/>
      <c r="AL264" s="279" t="str">
        <f>IF(AB264="Y","단종모델",LEFT(N264,3)&amp;IFERROR(VLOOKUP(LEFT(N264,3)&amp;P264,#REF!,2,0),""))</f>
        <v/>
      </c>
      <c r="AM264" s="469" t="str">
        <f t="shared" si="358"/>
        <v xml:space="preserve">  </v>
      </c>
      <c r="AN264" s="279"/>
      <c r="AO264" s="279"/>
      <c r="AP264" s="279"/>
      <c r="AQ264" s="279"/>
      <c r="AR264" s="279"/>
      <c r="AS264" s="279"/>
      <c r="AT264" s="279"/>
      <c r="AU264" s="279"/>
      <c r="AV264" s="279"/>
      <c r="AW264" s="279"/>
      <c r="AX264" s="279"/>
      <c r="AY264" s="488"/>
      <c r="AZ264" s="488"/>
      <c r="BA264" s="279"/>
      <c r="BB264" s="279"/>
      <c r="BC264" s="279"/>
      <c r="BD264" s="279"/>
      <c r="BE264" s="279"/>
      <c r="BF264" s="279"/>
      <c r="BG264" s="281"/>
      <c r="BH264" s="281"/>
      <c r="BI264" s="279"/>
      <c r="BJ264" s="279"/>
      <c r="BK264" s="279"/>
      <c r="BL264" s="279"/>
      <c r="BM264" s="279"/>
      <c r="BN264" s="279"/>
      <c r="BO264" s="279"/>
      <c r="BP264" s="500"/>
      <c r="BQ264" s="279"/>
    </row>
    <row r="265" spans="1:69" s="460" customFormat="1" ht="15" customHeight="1">
      <c r="A265" s="281"/>
      <c r="B265" s="279"/>
      <c r="C265" s="279"/>
      <c r="D265" s="279"/>
      <c r="E265" s="279"/>
      <c r="F265" s="279"/>
      <c r="G265" s="279"/>
      <c r="H265" s="279"/>
      <c r="I265" s="279"/>
      <c r="J265" s="279"/>
      <c r="K265" s="279"/>
      <c r="L265" s="279"/>
      <c r="M265" s="279"/>
      <c r="N265" s="279"/>
      <c r="O265" s="279"/>
      <c r="P265" s="279"/>
      <c r="Q265" s="279"/>
      <c r="R265" s="279"/>
      <c r="S265" s="279"/>
      <c r="T265" s="279"/>
      <c r="U265" s="279"/>
      <c r="V265" s="279"/>
      <c r="W265" s="279"/>
      <c r="X265" s="279"/>
      <c r="Y265" s="279"/>
      <c r="Z265" s="279"/>
      <c r="AA265" s="279"/>
      <c r="AB265" s="279"/>
      <c r="AC265" s="279"/>
      <c r="AD265" s="279"/>
      <c r="AE265" s="279"/>
      <c r="AF265" s="279"/>
      <c r="AG265" s="279"/>
      <c r="AH265" s="279"/>
      <c r="AI265" s="279"/>
      <c r="AJ265" s="462"/>
      <c r="AK265" s="279"/>
      <c r="AL265" s="279" t="str">
        <f>IF(AB265="Y","단종모델",LEFT(N265,3)&amp;IFERROR(VLOOKUP(LEFT(N265,3)&amp;P265,#REF!,2,0),""))</f>
        <v/>
      </c>
      <c r="AM265" s="469" t="str">
        <f t="shared" si="358"/>
        <v xml:space="preserve">  </v>
      </c>
      <c r="AN265" s="279"/>
      <c r="AO265" s="279"/>
      <c r="AP265" s="279"/>
      <c r="AQ265" s="279"/>
      <c r="AR265" s="279"/>
      <c r="AS265" s="279"/>
      <c r="AT265" s="279"/>
      <c r="AU265" s="279"/>
      <c r="AV265" s="279"/>
      <c r="AW265" s="279"/>
      <c r="AX265" s="279"/>
      <c r="AY265" s="488"/>
      <c r="AZ265" s="488"/>
      <c r="BA265" s="279"/>
      <c r="BB265" s="279"/>
      <c r="BC265" s="279"/>
      <c r="BD265" s="279"/>
      <c r="BE265" s="279"/>
      <c r="BF265" s="279"/>
      <c r="BG265" s="281"/>
      <c r="BH265" s="281"/>
      <c r="BI265" s="279"/>
      <c r="BJ265" s="279"/>
      <c r="BK265" s="279"/>
      <c r="BL265" s="279"/>
      <c r="BM265" s="279"/>
      <c r="BN265" s="279"/>
      <c r="BO265" s="279"/>
      <c r="BP265" s="500"/>
      <c r="BQ265" s="279"/>
    </row>
    <row r="266" spans="1:69" s="460" customFormat="1" ht="15" customHeight="1">
      <c r="A266" s="281"/>
      <c r="B266" s="279"/>
      <c r="C266" s="279"/>
      <c r="D266" s="279"/>
      <c r="E266" s="279"/>
      <c r="F266" s="279"/>
      <c r="G266" s="279"/>
      <c r="H266" s="279"/>
      <c r="I266" s="279"/>
      <c r="J266" s="279"/>
      <c r="K266" s="279"/>
      <c r="L266" s="279"/>
      <c r="M266" s="279"/>
      <c r="N266" s="279"/>
      <c r="O266" s="279"/>
      <c r="P266" s="279"/>
      <c r="Q266" s="279"/>
      <c r="R266" s="279"/>
      <c r="S266" s="279"/>
      <c r="T266" s="279"/>
      <c r="U266" s="279"/>
      <c r="V266" s="279"/>
      <c r="W266" s="279"/>
      <c r="X266" s="279"/>
      <c r="Y266" s="279"/>
      <c r="Z266" s="279"/>
      <c r="AA266" s="279"/>
      <c r="AB266" s="279"/>
      <c r="AC266" s="279"/>
      <c r="AD266" s="279"/>
      <c r="AE266" s="279"/>
      <c r="AF266" s="279"/>
      <c r="AG266" s="279"/>
      <c r="AH266" s="279"/>
      <c r="AI266" s="279"/>
      <c r="AJ266" s="462"/>
      <c r="AK266" s="279"/>
      <c r="AL266" s="279" t="str">
        <f>IF(AB266="Y","단종모델",LEFT(N266,3)&amp;IFERROR(VLOOKUP(LEFT(N266,3)&amp;P266,#REF!,2,0),""))</f>
        <v/>
      </c>
      <c r="AM266" s="469" t="str">
        <f t="shared" si="358"/>
        <v xml:space="preserve">  </v>
      </c>
      <c r="AN266" s="279"/>
      <c r="AO266" s="279"/>
      <c r="AP266" s="279"/>
      <c r="AQ266" s="279"/>
      <c r="AR266" s="279"/>
      <c r="AS266" s="279"/>
      <c r="AT266" s="279"/>
      <c r="AU266" s="279"/>
      <c r="AV266" s="279"/>
      <c r="AW266" s="279"/>
      <c r="AX266" s="279"/>
      <c r="AY266" s="488"/>
      <c r="AZ266" s="488"/>
      <c r="BA266" s="279"/>
      <c r="BB266" s="279"/>
      <c r="BC266" s="279"/>
      <c r="BD266" s="279"/>
      <c r="BE266" s="279"/>
      <c r="BF266" s="279"/>
      <c r="BG266" s="281"/>
      <c r="BH266" s="281"/>
      <c r="BI266" s="279"/>
      <c r="BJ266" s="279"/>
      <c r="BK266" s="279"/>
      <c r="BL266" s="279"/>
      <c r="BM266" s="279"/>
      <c r="BN266" s="279"/>
      <c r="BO266" s="279"/>
      <c r="BP266" s="500"/>
      <c r="BQ266" s="279"/>
    </row>
    <row r="267" spans="1:69" s="460" customFormat="1" ht="15" customHeight="1">
      <c r="A267" s="281"/>
      <c r="B267" s="279"/>
      <c r="C267" s="279"/>
      <c r="D267" s="279"/>
      <c r="E267" s="279"/>
      <c r="F267" s="279"/>
      <c r="G267" s="279"/>
      <c r="H267" s="279"/>
      <c r="I267" s="279"/>
      <c r="J267" s="279"/>
      <c r="K267" s="279"/>
      <c r="L267" s="279"/>
      <c r="M267" s="279"/>
      <c r="N267" s="279"/>
      <c r="O267" s="279"/>
      <c r="P267" s="279"/>
      <c r="Q267" s="279"/>
      <c r="R267" s="279"/>
      <c r="S267" s="279"/>
      <c r="T267" s="279"/>
      <c r="U267" s="279"/>
      <c r="V267" s="279"/>
      <c r="W267" s="279"/>
      <c r="X267" s="279"/>
      <c r="Y267" s="279"/>
      <c r="Z267" s="279"/>
      <c r="AA267" s="279"/>
      <c r="AB267" s="279"/>
      <c r="AC267" s="279"/>
      <c r="AD267" s="279"/>
      <c r="AE267" s="279"/>
      <c r="AF267" s="279"/>
      <c r="AG267" s="279"/>
      <c r="AH267" s="279"/>
      <c r="AI267" s="279"/>
      <c r="AJ267" s="462"/>
      <c r="AK267" s="279"/>
      <c r="AL267" s="279" t="str">
        <f>IF(AB267="Y","단종모델",LEFT(N267,3)&amp;IFERROR(VLOOKUP(LEFT(N267,3)&amp;P267,#REF!,2,0),""))</f>
        <v/>
      </c>
      <c r="AM267" s="469" t="str">
        <f t="shared" si="358"/>
        <v xml:space="preserve">  </v>
      </c>
      <c r="AN267" s="279"/>
      <c r="AO267" s="279"/>
      <c r="AP267" s="279"/>
      <c r="AQ267" s="279"/>
      <c r="AR267" s="279"/>
      <c r="AS267" s="279"/>
      <c r="AT267" s="279"/>
      <c r="AU267" s="279"/>
      <c r="AV267" s="279"/>
      <c r="AW267" s="279"/>
      <c r="AX267" s="279"/>
      <c r="AY267" s="488"/>
      <c r="AZ267" s="488"/>
      <c r="BA267" s="279"/>
      <c r="BB267" s="279"/>
      <c r="BC267" s="279"/>
      <c r="BD267" s="279"/>
      <c r="BE267" s="279"/>
      <c r="BF267" s="279"/>
      <c r="BG267" s="281"/>
      <c r="BH267" s="281"/>
      <c r="BI267" s="279"/>
      <c r="BJ267" s="279"/>
      <c r="BK267" s="279"/>
      <c r="BL267" s="279"/>
      <c r="BM267" s="279"/>
      <c r="BN267" s="279"/>
      <c r="BO267" s="279"/>
      <c r="BP267" s="500"/>
      <c r="BQ267" s="279"/>
    </row>
    <row r="268" spans="1:69" s="460" customFormat="1" ht="15" customHeight="1">
      <c r="A268" s="281"/>
      <c r="B268" s="279"/>
      <c r="C268" s="279"/>
      <c r="D268" s="279"/>
      <c r="E268" s="279"/>
      <c r="F268" s="279"/>
      <c r="G268" s="279"/>
      <c r="H268" s="279"/>
      <c r="I268" s="279"/>
      <c r="J268" s="279"/>
      <c r="K268" s="279"/>
      <c r="L268" s="279"/>
      <c r="M268" s="279"/>
      <c r="N268" s="279"/>
      <c r="O268" s="279"/>
      <c r="P268" s="279"/>
      <c r="Q268" s="279"/>
      <c r="R268" s="279"/>
      <c r="S268" s="279"/>
      <c r="T268" s="279"/>
      <c r="U268" s="279"/>
      <c r="V268" s="279"/>
      <c r="W268" s="279"/>
      <c r="X268" s="279"/>
      <c r="Y268" s="279"/>
      <c r="Z268" s="279"/>
      <c r="AA268" s="279"/>
      <c r="AB268" s="279"/>
      <c r="AC268" s="279"/>
      <c r="AD268" s="279"/>
      <c r="AE268" s="279"/>
      <c r="AF268" s="279"/>
      <c r="AG268" s="279"/>
      <c r="AH268" s="279"/>
      <c r="AI268" s="279"/>
      <c r="AJ268" s="462"/>
      <c r="AK268" s="279"/>
      <c r="AL268" s="279" t="str">
        <f>IF(AB268="Y","단종모델",LEFT(N268,3)&amp;IFERROR(VLOOKUP(LEFT(N268,3)&amp;P268,#REF!,2,0),""))</f>
        <v/>
      </c>
      <c r="AM268" s="469" t="str">
        <f t="shared" si="358"/>
        <v xml:space="preserve">  </v>
      </c>
      <c r="AN268" s="279"/>
      <c r="AO268" s="279"/>
      <c r="AP268" s="279"/>
      <c r="AQ268" s="279"/>
      <c r="AR268" s="279"/>
      <c r="AS268" s="279"/>
      <c r="AT268" s="279"/>
      <c r="AU268" s="279"/>
      <c r="AV268" s="279"/>
      <c r="AW268" s="279"/>
      <c r="AX268" s="279"/>
      <c r="AY268" s="488"/>
      <c r="AZ268" s="488"/>
      <c r="BA268" s="279"/>
      <c r="BB268" s="279"/>
      <c r="BC268" s="279"/>
      <c r="BD268" s="279"/>
      <c r="BE268" s="279"/>
      <c r="BF268" s="279"/>
      <c r="BG268" s="281"/>
      <c r="BH268" s="281"/>
      <c r="BI268" s="279"/>
      <c r="BJ268" s="279"/>
      <c r="BK268" s="279"/>
      <c r="BL268" s="279"/>
      <c r="BM268" s="279"/>
      <c r="BN268" s="279"/>
      <c r="BO268" s="279"/>
      <c r="BP268" s="500"/>
      <c r="BQ268" s="279"/>
    </row>
    <row r="269" spans="1:69" s="460" customFormat="1" ht="15" customHeight="1">
      <c r="A269" s="281"/>
      <c r="B269" s="279"/>
      <c r="C269" s="279"/>
      <c r="D269" s="279"/>
      <c r="E269" s="279"/>
      <c r="F269" s="279"/>
      <c r="G269" s="279"/>
      <c r="H269" s="279"/>
      <c r="I269" s="279"/>
      <c r="J269" s="279"/>
      <c r="K269" s="279"/>
      <c r="L269" s="279"/>
      <c r="M269" s="279"/>
      <c r="N269" s="279"/>
      <c r="O269" s="279"/>
      <c r="P269" s="279"/>
      <c r="Q269" s="279"/>
      <c r="R269" s="279"/>
      <c r="S269" s="279"/>
      <c r="T269" s="279"/>
      <c r="U269" s="279"/>
      <c r="V269" s="279"/>
      <c r="W269" s="279"/>
      <c r="X269" s="279"/>
      <c r="Y269" s="279"/>
      <c r="Z269" s="279"/>
      <c r="AA269" s="279"/>
      <c r="AB269" s="279"/>
      <c r="AC269" s="279"/>
      <c r="AD269" s="279"/>
      <c r="AE269" s="279"/>
      <c r="AF269" s="279"/>
      <c r="AG269" s="279"/>
      <c r="AH269" s="279"/>
      <c r="AI269" s="279"/>
      <c r="AJ269" s="462"/>
      <c r="AK269" s="279"/>
      <c r="AL269" s="279" t="str">
        <f>IF(AB269="Y","단종모델",LEFT(N269,3)&amp;IFERROR(VLOOKUP(LEFT(N269,3)&amp;P269,#REF!,2,0),""))</f>
        <v/>
      </c>
      <c r="AM269" s="469" t="str">
        <f t="shared" si="358"/>
        <v xml:space="preserve">  </v>
      </c>
      <c r="AN269" s="279"/>
      <c r="AO269" s="279"/>
      <c r="AP269" s="279"/>
      <c r="AQ269" s="279"/>
      <c r="AR269" s="279"/>
      <c r="AS269" s="279"/>
      <c r="AT269" s="279"/>
      <c r="AU269" s="279"/>
      <c r="AV269" s="279"/>
      <c r="AW269" s="279"/>
      <c r="AX269" s="279"/>
      <c r="AY269" s="488"/>
      <c r="AZ269" s="488"/>
      <c r="BA269" s="279"/>
      <c r="BB269" s="279"/>
      <c r="BC269" s="279"/>
      <c r="BD269" s="279"/>
      <c r="BE269" s="279"/>
      <c r="BF269" s="279"/>
      <c r="BG269" s="281"/>
      <c r="BH269" s="281"/>
      <c r="BI269" s="279"/>
      <c r="BJ269" s="279"/>
      <c r="BK269" s="279"/>
      <c r="BL269" s="279"/>
      <c r="BM269" s="279"/>
      <c r="BN269" s="279"/>
      <c r="BO269" s="279"/>
      <c r="BP269" s="500"/>
      <c r="BQ269" s="279"/>
    </row>
    <row r="270" spans="1:69" s="460" customFormat="1" ht="15" customHeight="1">
      <c r="A270" s="281"/>
      <c r="B270" s="279"/>
      <c r="C270" s="279"/>
      <c r="D270" s="279"/>
      <c r="E270" s="279"/>
      <c r="F270" s="279"/>
      <c r="G270" s="279"/>
      <c r="H270" s="279"/>
      <c r="I270" s="279"/>
      <c r="J270" s="279"/>
      <c r="K270" s="279"/>
      <c r="L270" s="279"/>
      <c r="M270" s="279"/>
      <c r="N270" s="279"/>
      <c r="O270" s="279"/>
      <c r="P270" s="279"/>
      <c r="Q270" s="279"/>
      <c r="R270" s="279"/>
      <c r="S270" s="279"/>
      <c r="T270" s="279"/>
      <c r="U270" s="279"/>
      <c r="V270" s="279"/>
      <c r="W270" s="279"/>
      <c r="X270" s="279"/>
      <c r="Y270" s="279"/>
      <c r="Z270" s="279"/>
      <c r="AA270" s="279"/>
      <c r="AB270" s="279"/>
      <c r="AC270" s="279"/>
      <c r="AD270" s="279"/>
      <c r="AE270" s="279"/>
      <c r="AF270" s="279"/>
      <c r="AG270" s="279"/>
      <c r="AH270" s="279"/>
      <c r="AI270" s="279"/>
      <c r="AJ270" s="462"/>
      <c r="AK270" s="279"/>
      <c r="AL270" s="279" t="str">
        <f>IF(AB270="Y","단종모델",LEFT(N270,3)&amp;IFERROR(VLOOKUP(LEFT(N270,3)&amp;P270,#REF!,2,0),""))</f>
        <v/>
      </c>
      <c r="AM270" s="469" t="str">
        <f t="shared" si="358"/>
        <v xml:space="preserve">  </v>
      </c>
      <c r="AN270" s="279"/>
      <c r="AO270" s="279"/>
      <c r="AP270" s="279"/>
      <c r="AQ270" s="279"/>
      <c r="AR270" s="279"/>
      <c r="AS270" s="279"/>
      <c r="AT270" s="279"/>
      <c r="AU270" s="279"/>
      <c r="AV270" s="279"/>
      <c r="AW270" s="279"/>
      <c r="AX270" s="279"/>
      <c r="AY270" s="488"/>
      <c r="AZ270" s="488"/>
      <c r="BA270" s="279"/>
      <c r="BB270" s="279"/>
      <c r="BC270" s="279"/>
      <c r="BD270" s="279"/>
      <c r="BE270" s="279"/>
      <c r="BF270" s="279"/>
      <c r="BG270" s="281"/>
      <c r="BH270" s="281"/>
      <c r="BI270" s="279"/>
      <c r="BJ270" s="279"/>
      <c r="BK270" s="279"/>
      <c r="BL270" s="279"/>
      <c r="BM270" s="279"/>
      <c r="BN270" s="279"/>
      <c r="BO270" s="279"/>
      <c r="BP270" s="500"/>
      <c r="BQ270" s="279"/>
    </row>
    <row r="271" spans="1:69" s="460" customFormat="1" ht="15" customHeight="1">
      <c r="A271" s="281"/>
      <c r="B271" s="279"/>
      <c r="C271" s="279"/>
      <c r="D271" s="279"/>
      <c r="E271" s="279"/>
      <c r="F271" s="279"/>
      <c r="G271" s="279"/>
      <c r="H271" s="279"/>
      <c r="I271" s="279"/>
      <c r="J271" s="279"/>
      <c r="K271" s="279"/>
      <c r="L271" s="279"/>
      <c r="M271" s="279"/>
      <c r="N271" s="279"/>
      <c r="O271" s="279"/>
      <c r="P271" s="279"/>
      <c r="Q271" s="279"/>
      <c r="R271" s="279"/>
      <c r="S271" s="279"/>
      <c r="T271" s="279"/>
      <c r="U271" s="279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79"/>
      <c r="AG271" s="279"/>
      <c r="AH271" s="279"/>
      <c r="AI271" s="279"/>
      <c r="AJ271" s="462"/>
      <c r="AK271" s="279"/>
      <c r="AL271" s="279" t="str">
        <f>IF(AB271="Y","단종모델",LEFT(N271,3)&amp;IFERROR(VLOOKUP(LEFT(N271,3)&amp;P271,#REF!,2,0),""))</f>
        <v/>
      </c>
      <c r="AM271" s="469" t="str">
        <f t="shared" si="358"/>
        <v xml:space="preserve">  </v>
      </c>
      <c r="AN271" s="279"/>
      <c r="AO271" s="279"/>
      <c r="AP271" s="279"/>
      <c r="AQ271" s="279"/>
      <c r="AR271" s="279"/>
      <c r="AS271" s="279"/>
      <c r="AT271" s="279"/>
      <c r="AU271" s="279"/>
      <c r="AV271" s="279"/>
      <c r="AW271" s="279"/>
      <c r="AX271" s="279"/>
      <c r="AY271" s="488"/>
      <c r="AZ271" s="488"/>
      <c r="BA271" s="279"/>
      <c r="BB271" s="279"/>
      <c r="BC271" s="279"/>
      <c r="BD271" s="279"/>
      <c r="BE271" s="279"/>
      <c r="BF271" s="279"/>
      <c r="BG271" s="281"/>
      <c r="BH271" s="281"/>
      <c r="BI271" s="279"/>
      <c r="BJ271" s="279"/>
      <c r="BK271" s="279"/>
      <c r="BL271" s="279"/>
      <c r="BM271" s="279"/>
      <c r="BN271" s="279"/>
      <c r="BO271" s="279"/>
      <c r="BP271" s="500"/>
      <c r="BQ271" s="279"/>
    </row>
    <row r="272" spans="1:69" s="460" customFormat="1" ht="15" customHeight="1">
      <c r="A272" s="281"/>
      <c r="B272" s="279"/>
      <c r="C272" s="279"/>
      <c r="D272" s="279"/>
      <c r="E272" s="279"/>
      <c r="F272" s="279"/>
      <c r="G272" s="279"/>
      <c r="H272" s="279"/>
      <c r="I272" s="279"/>
      <c r="J272" s="279"/>
      <c r="K272" s="279"/>
      <c r="L272" s="279"/>
      <c r="M272" s="279"/>
      <c r="N272" s="279"/>
      <c r="O272" s="279"/>
      <c r="P272" s="279"/>
      <c r="Q272" s="279"/>
      <c r="R272" s="279"/>
      <c r="S272" s="279"/>
      <c r="T272" s="279"/>
      <c r="U272" s="279"/>
      <c r="V272" s="279"/>
      <c r="W272" s="279"/>
      <c r="X272" s="279"/>
      <c r="Y272" s="279"/>
      <c r="Z272" s="279"/>
      <c r="AA272" s="279"/>
      <c r="AB272" s="279"/>
      <c r="AC272" s="279"/>
      <c r="AD272" s="279"/>
      <c r="AE272" s="279"/>
      <c r="AF272" s="279"/>
      <c r="AG272" s="279"/>
      <c r="AH272" s="279"/>
      <c r="AI272" s="279"/>
      <c r="AJ272" s="462"/>
      <c r="AK272" s="279"/>
      <c r="AL272" s="279" t="str">
        <f>IF(AB272="Y","단종모델",LEFT(N272,3)&amp;IFERROR(VLOOKUP(LEFT(N272,3)&amp;P272,#REF!,2,0),""))</f>
        <v/>
      </c>
      <c r="AM272" s="469" t="str">
        <f t="shared" si="358"/>
        <v xml:space="preserve">  </v>
      </c>
      <c r="AN272" s="279"/>
      <c r="AO272" s="279"/>
      <c r="AP272" s="279"/>
      <c r="AQ272" s="279"/>
      <c r="AR272" s="279"/>
      <c r="AS272" s="279"/>
      <c r="AT272" s="279"/>
      <c r="AU272" s="279"/>
      <c r="AV272" s="279"/>
      <c r="AW272" s="279"/>
      <c r="AX272" s="279"/>
      <c r="AY272" s="488"/>
      <c r="AZ272" s="488"/>
      <c r="BA272" s="279"/>
      <c r="BB272" s="279"/>
      <c r="BC272" s="279"/>
      <c r="BD272" s="279"/>
      <c r="BE272" s="279"/>
      <c r="BF272" s="279"/>
      <c r="BG272" s="281"/>
      <c r="BH272" s="281"/>
      <c r="BI272" s="279"/>
      <c r="BJ272" s="279"/>
      <c r="BK272" s="279"/>
      <c r="BL272" s="279"/>
      <c r="BM272" s="279"/>
      <c r="BN272" s="279"/>
      <c r="BO272" s="279"/>
      <c r="BP272" s="500"/>
      <c r="BQ272" s="279"/>
    </row>
    <row r="273" spans="1:69" s="460" customFormat="1" ht="15" customHeight="1">
      <c r="A273" s="281"/>
      <c r="B273" s="279"/>
      <c r="C273" s="279"/>
      <c r="D273" s="279"/>
      <c r="E273" s="279"/>
      <c r="F273" s="279"/>
      <c r="G273" s="279"/>
      <c r="H273" s="279"/>
      <c r="I273" s="279"/>
      <c r="J273" s="279"/>
      <c r="K273" s="279"/>
      <c r="L273" s="279"/>
      <c r="M273" s="279"/>
      <c r="N273" s="279"/>
      <c r="O273" s="279"/>
      <c r="P273" s="279"/>
      <c r="Q273" s="279"/>
      <c r="R273" s="279"/>
      <c r="S273" s="279"/>
      <c r="T273" s="279"/>
      <c r="U273" s="279"/>
      <c r="V273" s="279"/>
      <c r="W273" s="279"/>
      <c r="X273" s="279"/>
      <c r="Y273" s="279"/>
      <c r="Z273" s="279"/>
      <c r="AA273" s="279"/>
      <c r="AB273" s="279"/>
      <c r="AC273" s="279"/>
      <c r="AD273" s="279"/>
      <c r="AE273" s="279"/>
      <c r="AF273" s="279"/>
      <c r="AG273" s="279"/>
      <c r="AH273" s="279"/>
      <c r="AI273" s="279"/>
      <c r="AJ273" s="462"/>
      <c r="AK273" s="279"/>
      <c r="AL273" s="279" t="str">
        <f>IF(AB273="Y","단종모델",LEFT(N273,3)&amp;IFERROR(VLOOKUP(LEFT(N273,3)&amp;P273,#REF!,2,0),""))</f>
        <v/>
      </c>
      <c r="AM273" s="469" t="str">
        <f t="shared" si="358"/>
        <v xml:space="preserve">  </v>
      </c>
      <c r="AN273" s="279"/>
      <c r="AO273" s="279"/>
      <c r="AP273" s="279"/>
      <c r="AQ273" s="279"/>
      <c r="AR273" s="279"/>
      <c r="AS273" s="279"/>
      <c r="AT273" s="279"/>
      <c r="AU273" s="279"/>
      <c r="AV273" s="279"/>
      <c r="AW273" s="279"/>
      <c r="AX273" s="279"/>
      <c r="AY273" s="458"/>
      <c r="AZ273" s="279"/>
      <c r="BA273" s="279"/>
      <c r="BB273" s="279"/>
      <c r="BC273" s="279"/>
      <c r="BD273" s="279"/>
      <c r="BE273" s="279"/>
      <c r="BF273" s="279"/>
      <c r="BG273" s="281"/>
      <c r="BH273" s="281"/>
      <c r="BI273" s="279"/>
      <c r="BJ273" s="279"/>
      <c r="BK273" s="279"/>
      <c r="BL273" s="279"/>
      <c r="BM273" s="279"/>
      <c r="BN273" s="279"/>
      <c r="BO273" s="279"/>
      <c r="BP273" s="500"/>
      <c r="BQ273" s="279"/>
    </row>
    <row r="274" spans="1:69" s="460" customFormat="1" ht="15" customHeight="1">
      <c r="A274" s="281"/>
      <c r="B274" s="279"/>
      <c r="C274" s="279"/>
      <c r="D274" s="279"/>
      <c r="E274" s="279"/>
      <c r="F274" s="279"/>
      <c r="G274" s="279"/>
      <c r="H274" s="279"/>
      <c r="I274" s="279"/>
      <c r="J274" s="279"/>
      <c r="K274" s="279"/>
      <c r="L274" s="279"/>
      <c r="M274" s="279"/>
      <c r="N274" s="279"/>
      <c r="O274" s="279"/>
      <c r="P274" s="279"/>
      <c r="Q274" s="279"/>
      <c r="R274" s="279"/>
      <c r="S274" s="279"/>
      <c r="T274" s="279"/>
      <c r="U274" s="279"/>
      <c r="V274" s="279"/>
      <c r="W274" s="279"/>
      <c r="X274" s="279"/>
      <c r="Y274" s="279"/>
      <c r="Z274" s="279"/>
      <c r="AA274" s="279"/>
      <c r="AB274" s="279"/>
      <c r="AC274" s="279"/>
      <c r="AD274" s="279"/>
      <c r="AE274" s="279"/>
      <c r="AF274" s="279"/>
      <c r="AG274" s="279"/>
      <c r="AH274" s="279"/>
      <c r="AI274" s="279"/>
      <c r="AJ274" s="462"/>
      <c r="AK274" s="279"/>
      <c r="AL274" s="279" t="str">
        <f>IF(AB274="Y","단종모델",LEFT(N274,3)&amp;IFERROR(VLOOKUP(LEFT(N274,3)&amp;P274,#REF!,2,0),""))</f>
        <v/>
      </c>
      <c r="AM274" s="469" t="str">
        <f t="shared" si="358"/>
        <v xml:space="preserve">  </v>
      </c>
      <c r="AN274" s="279"/>
      <c r="AO274" s="279"/>
      <c r="AP274" s="279"/>
      <c r="AQ274" s="279"/>
      <c r="AR274" s="279"/>
      <c r="AS274" s="279"/>
      <c r="AT274" s="279"/>
      <c r="AU274" s="279"/>
      <c r="AV274" s="279"/>
      <c r="AW274" s="279"/>
      <c r="AX274" s="279"/>
      <c r="AY274" s="458"/>
      <c r="AZ274" s="279"/>
      <c r="BA274" s="279"/>
      <c r="BB274" s="279"/>
      <c r="BC274" s="279"/>
      <c r="BD274" s="279"/>
      <c r="BE274" s="279"/>
      <c r="BF274" s="279"/>
      <c r="BG274" s="281"/>
      <c r="BH274" s="281"/>
      <c r="BI274" s="279"/>
      <c r="BJ274" s="279"/>
      <c r="BK274" s="279"/>
      <c r="BL274" s="279"/>
      <c r="BM274" s="279"/>
      <c r="BN274" s="279"/>
      <c r="BO274" s="279"/>
      <c r="BP274" s="500"/>
      <c r="BQ274" s="279"/>
    </row>
    <row r="275" spans="1:69" s="460" customFormat="1" ht="15" customHeight="1">
      <c r="A275" s="281"/>
      <c r="B275" s="279"/>
      <c r="C275" s="279"/>
      <c r="D275" s="279"/>
      <c r="E275" s="279"/>
      <c r="F275" s="279"/>
      <c r="G275" s="279"/>
      <c r="H275" s="279"/>
      <c r="I275" s="279"/>
      <c r="J275" s="279"/>
      <c r="K275" s="279"/>
      <c r="L275" s="279"/>
      <c r="M275" s="279"/>
      <c r="N275" s="279"/>
      <c r="O275" s="279"/>
      <c r="P275" s="279"/>
      <c r="Q275" s="279"/>
      <c r="R275" s="279"/>
      <c r="S275" s="279"/>
      <c r="T275" s="279"/>
      <c r="U275" s="279"/>
      <c r="V275" s="279"/>
      <c r="W275" s="279"/>
      <c r="X275" s="279"/>
      <c r="Y275" s="279"/>
      <c r="Z275" s="279"/>
      <c r="AA275" s="279"/>
      <c r="AB275" s="279"/>
      <c r="AC275" s="279"/>
      <c r="AD275" s="279"/>
      <c r="AE275" s="279"/>
      <c r="AF275" s="279"/>
      <c r="AG275" s="279"/>
      <c r="AH275" s="279"/>
      <c r="AI275" s="279"/>
      <c r="AJ275" s="462"/>
      <c r="AK275" s="279"/>
      <c r="AL275" s="279" t="str">
        <f>IF(AB275="Y","단종모델",LEFT(N275,3)&amp;IFERROR(VLOOKUP(LEFT(N275,3)&amp;P275,#REF!,2,0),""))</f>
        <v/>
      </c>
      <c r="AM275" s="469" t="str">
        <f t="shared" si="358"/>
        <v xml:space="preserve">  </v>
      </c>
      <c r="AN275" s="279"/>
      <c r="AO275" s="279"/>
      <c r="AP275" s="279"/>
      <c r="AQ275" s="279"/>
      <c r="AR275" s="279"/>
      <c r="AS275" s="279"/>
      <c r="AT275" s="279"/>
      <c r="AU275" s="279"/>
      <c r="AV275" s="279"/>
      <c r="AW275" s="279"/>
      <c r="AX275" s="279"/>
      <c r="AY275" s="458"/>
      <c r="AZ275" s="279"/>
      <c r="BA275" s="279"/>
      <c r="BB275" s="279"/>
      <c r="BC275" s="279"/>
      <c r="BD275" s="279"/>
      <c r="BE275" s="279"/>
      <c r="BF275" s="279"/>
      <c r="BG275" s="281"/>
      <c r="BH275" s="281"/>
      <c r="BI275" s="279"/>
      <c r="BJ275" s="279"/>
      <c r="BK275" s="279"/>
      <c r="BL275" s="279"/>
      <c r="BM275" s="279"/>
      <c r="BN275" s="279"/>
      <c r="BO275" s="279"/>
      <c r="BP275" s="500"/>
      <c r="BQ275" s="279"/>
    </row>
    <row r="276" spans="1:69" s="460" customFormat="1" ht="15" customHeight="1">
      <c r="A276" s="281"/>
      <c r="B276" s="279"/>
      <c r="C276" s="279"/>
      <c r="D276" s="279"/>
      <c r="E276" s="279"/>
      <c r="F276" s="279"/>
      <c r="G276" s="279"/>
      <c r="H276" s="279"/>
      <c r="I276" s="279"/>
      <c r="J276" s="279"/>
      <c r="K276" s="279"/>
      <c r="L276" s="279"/>
      <c r="M276" s="279"/>
      <c r="N276" s="279"/>
      <c r="O276" s="279"/>
      <c r="P276" s="279"/>
      <c r="Q276" s="279"/>
      <c r="R276" s="279"/>
      <c r="S276" s="279"/>
      <c r="T276" s="279"/>
      <c r="U276" s="279"/>
      <c r="V276" s="279"/>
      <c r="W276" s="279"/>
      <c r="X276" s="279"/>
      <c r="Y276" s="279"/>
      <c r="Z276" s="279"/>
      <c r="AA276" s="279"/>
      <c r="AB276" s="279"/>
      <c r="AC276" s="279"/>
      <c r="AD276" s="279"/>
      <c r="AE276" s="279"/>
      <c r="AF276" s="279"/>
      <c r="AG276" s="279"/>
      <c r="AH276" s="279"/>
      <c r="AI276" s="279"/>
      <c r="AJ276" s="462"/>
      <c r="AK276" s="279"/>
      <c r="AL276" s="279"/>
      <c r="AM276" s="469"/>
      <c r="AN276" s="279"/>
      <c r="AO276" s="279"/>
      <c r="AP276" s="279"/>
      <c r="AQ276" s="279"/>
      <c r="AR276" s="279"/>
      <c r="AS276" s="279"/>
      <c r="AT276" s="279"/>
      <c r="AU276" s="279"/>
      <c r="AV276" s="279"/>
      <c r="AW276" s="279"/>
      <c r="AX276" s="279"/>
      <c r="AY276" s="458"/>
      <c r="AZ276" s="279"/>
      <c r="BA276" s="283"/>
      <c r="BB276" s="279"/>
      <c r="BC276" s="279"/>
      <c r="BD276" s="279"/>
      <c r="BE276" s="279"/>
      <c r="BF276" s="279"/>
      <c r="BG276" s="279"/>
      <c r="BH276" s="279"/>
      <c r="BI276" s="279"/>
      <c r="BJ276" s="279"/>
      <c r="BK276" s="279"/>
      <c r="BL276" s="279"/>
      <c r="BM276" s="279"/>
      <c r="BN276" s="279"/>
      <c r="BO276" s="279"/>
      <c r="BP276" s="459"/>
      <c r="BQ276" s="279"/>
    </row>
    <row r="277" spans="1:69" s="460" customFormat="1" ht="15" customHeight="1">
      <c r="A277" s="281"/>
      <c r="B277" s="279"/>
      <c r="C277" s="279"/>
      <c r="D277" s="279"/>
      <c r="E277" s="279"/>
      <c r="F277" s="279"/>
      <c r="G277" s="279"/>
      <c r="H277" s="279"/>
      <c r="I277" s="279"/>
      <c r="J277" s="279"/>
      <c r="K277" s="279"/>
      <c r="L277" s="279"/>
      <c r="M277" s="279"/>
      <c r="N277" s="279"/>
      <c r="O277" s="279"/>
      <c r="P277" s="279"/>
      <c r="Q277" s="279"/>
      <c r="R277" s="279"/>
      <c r="S277" s="279"/>
      <c r="T277" s="279"/>
      <c r="U277" s="279"/>
      <c r="V277" s="279"/>
      <c r="W277" s="279"/>
      <c r="X277" s="279"/>
      <c r="Y277" s="279"/>
      <c r="Z277" s="279"/>
      <c r="AA277" s="279"/>
      <c r="AB277" s="279"/>
      <c r="AC277" s="279"/>
      <c r="AD277" s="279"/>
      <c r="AE277" s="279"/>
      <c r="AF277" s="279"/>
      <c r="AG277" s="279"/>
      <c r="AH277" s="279"/>
      <c r="AI277" s="279"/>
      <c r="AJ277" s="462"/>
      <c r="AK277" s="279"/>
      <c r="AL277" s="279"/>
      <c r="AM277" s="469"/>
      <c r="AN277" s="279"/>
      <c r="AO277" s="279"/>
      <c r="AP277" s="279"/>
      <c r="AQ277" s="279"/>
      <c r="AR277" s="279"/>
      <c r="AS277" s="279"/>
      <c r="AT277" s="279"/>
      <c r="AU277" s="279"/>
      <c r="AV277" s="279"/>
      <c r="AW277" s="279"/>
      <c r="AX277" s="279"/>
      <c r="AY277" s="458"/>
      <c r="AZ277" s="279"/>
      <c r="BA277" s="283"/>
      <c r="BB277" s="279"/>
      <c r="BC277" s="279"/>
      <c r="BD277" s="279"/>
      <c r="BE277" s="279"/>
      <c r="BF277" s="279"/>
      <c r="BG277" s="279"/>
      <c r="BH277" s="279"/>
      <c r="BI277" s="279"/>
      <c r="BJ277" s="279"/>
      <c r="BK277" s="279"/>
      <c r="BL277" s="279"/>
      <c r="BM277" s="279"/>
      <c r="BN277" s="279"/>
      <c r="BO277" s="279"/>
      <c r="BP277" s="459"/>
      <c r="BQ277" s="279"/>
    </row>
    <row r="278" spans="1:69" s="460" customFormat="1" ht="15" customHeight="1">
      <c r="A278" s="281"/>
      <c r="B278" s="279"/>
      <c r="C278" s="279"/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79"/>
      <c r="T278" s="279"/>
      <c r="U278" s="279"/>
      <c r="V278" s="279"/>
      <c r="W278" s="279"/>
      <c r="X278" s="279"/>
      <c r="Y278" s="279"/>
      <c r="Z278" s="279"/>
      <c r="AA278" s="279"/>
      <c r="AB278" s="279"/>
      <c r="AC278" s="279"/>
      <c r="AD278" s="279"/>
      <c r="AE278" s="279"/>
      <c r="AF278" s="279"/>
      <c r="AG278" s="279"/>
      <c r="AH278" s="279"/>
      <c r="AI278" s="279"/>
      <c r="AJ278" s="462"/>
      <c r="AK278" s="279"/>
      <c r="AL278" s="279"/>
      <c r="AM278" s="469"/>
      <c r="AN278" s="279"/>
      <c r="AO278" s="279"/>
      <c r="AP278" s="279"/>
      <c r="AQ278" s="279"/>
      <c r="AR278" s="279"/>
      <c r="AS278" s="279"/>
      <c r="AT278" s="279"/>
      <c r="AU278" s="279"/>
      <c r="AV278" s="279"/>
      <c r="AW278" s="279"/>
      <c r="AX278" s="279"/>
      <c r="AY278" s="458"/>
      <c r="AZ278" s="279"/>
      <c r="BA278" s="283"/>
      <c r="BB278" s="279"/>
      <c r="BC278" s="279"/>
      <c r="BD278" s="279"/>
      <c r="BE278" s="279"/>
      <c r="BF278" s="279"/>
      <c r="BG278" s="279"/>
      <c r="BH278" s="279"/>
      <c r="BI278" s="279"/>
      <c r="BJ278" s="279"/>
      <c r="BK278" s="279"/>
      <c r="BL278" s="279"/>
      <c r="BM278" s="279"/>
      <c r="BN278" s="279"/>
      <c r="BO278" s="279"/>
      <c r="BP278" s="459"/>
      <c r="BQ278" s="279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M879"/>
  <sheetViews>
    <sheetView showGridLines="0" zoomScale="115" zoomScaleNormal="115" workbookViewId="0">
      <selection activeCell="D2" sqref="D2"/>
    </sheetView>
  </sheetViews>
  <sheetFormatPr defaultRowHeight="12.75" outlineLevelCol="2"/>
  <cols>
    <col min="1" max="1" width="1.5703125" style="69" customWidth="1"/>
    <col min="2" max="2" width="12.85546875" style="69" customWidth="1"/>
    <col min="3" max="3" width="36" style="92" hidden="1" customWidth="1"/>
    <col min="4" max="4" width="30.140625" style="267" customWidth="1"/>
    <col min="5" max="5" width="10.5703125" style="457" customWidth="1"/>
    <col min="6" max="11" width="30.7109375" style="61" customWidth="1" outlineLevel="2"/>
    <col min="12" max="12" width="30.7109375" style="69" customWidth="1" outlineLevel="2"/>
    <col min="13" max="13" width="36.85546875" style="69" customWidth="1" outlineLevel="2"/>
    <col min="14" max="14" width="9.42578125" style="259" customWidth="1"/>
    <col min="15" max="15" width="9.140625" style="69" customWidth="1"/>
    <col min="16" max="16" width="15.28515625" style="267" customWidth="1"/>
    <col min="17" max="25" width="9.140625" style="267"/>
    <col min="26" max="26" width="9.140625" style="267" customWidth="1"/>
    <col min="27" max="27" width="17.5703125" style="267" customWidth="1"/>
    <col min="28" max="28" width="14.28515625" style="268" customWidth="1"/>
    <col min="29" max="29" width="16" style="267" customWidth="1"/>
    <col min="30" max="30" width="16.5703125" style="267" customWidth="1"/>
    <col min="31" max="31" width="17.5703125" style="267" customWidth="1"/>
    <col min="32" max="32" width="15" style="267" customWidth="1"/>
    <col min="33" max="33" width="9.7109375" style="260" bestFit="1" customWidth="1"/>
    <col min="34" max="34" width="9.7109375" style="260" customWidth="1"/>
    <col min="35" max="35" width="23.7109375" style="267" customWidth="1"/>
    <col min="36" max="16384" width="9.140625" style="69"/>
  </cols>
  <sheetData>
    <row r="1" spans="2:39" ht="30" customHeight="1" thickBot="1">
      <c r="B1" s="256" t="s">
        <v>417</v>
      </c>
      <c r="C1" s="257" t="s">
        <v>418</v>
      </c>
      <c r="D1" s="258"/>
      <c r="E1" s="456"/>
    </row>
    <row r="2" spans="2:39" ht="25.5" thickBot="1">
      <c r="B2" s="1892">
        <v>2</v>
      </c>
      <c r="C2" s="1893">
        <f>D2</f>
        <v>3</v>
      </c>
      <c r="D2" s="1891">
        <v>3</v>
      </c>
      <c r="E2" s="1384" t="s">
        <v>419</v>
      </c>
      <c r="F2" s="1382" t="s">
        <v>95</v>
      </c>
      <c r="G2" s="263" t="s">
        <v>420</v>
      </c>
      <c r="H2" s="262" t="s">
        <v>111</v>
      </c>
      <c r="I2" s="262" t="s">
        <v>127</v>
      </c>
      <c r="J2" s="262" t="s">
        <v>124</v>
      </c>
      <c r="K2" s="264" t="s">
        <v>1195</v>
      </c>
      <c r="L2" s="265" t="s">
        <v>92</v>
      </c>
      <c r="M2" s="265" t="s">
        <v>1189</v>
      </c>
      <c r="N2" s="266" t="s">
        <v>167</v>
      </c>
      <c r="O2" s="267" t="s">
        <v>208</v>
      </c>
      <c r="P2" s="267" t="s">
        <v>421</v>
      </c>
      <c r="Q2" s="267" t="s">
        <v>236</v>
      </c>
      <c r="R2" s="267" t="s">
        <v>422</v>
      </c>
      <c r="S2" s="267" t="s">
        <v>423</v>
      </c>
      <c r="T2" s="267" t="s">
        <v>795</v>
      </c>
      <c r="U2" s="267" t="s">
        <v>796</v>
      </c>
      <c r="V2" s="267" t="s">
        <v>211</v>
      </c>
      <c r="W2" s="267" t="s">
        <v>424</v>
      </c>
      <c r="X2" s="267" t="s">
        <v>1535</v>
      </c>
      <c r="Y2" s="267" t="s">
        <v>425</v>
      </c>
      <c r="Z2" s="267" t="s">
        <v>1183</v>
      </c>
      <c r="AA2" s="267" t="s">
        <v>426</v>
      </c>
      <c r="AB2" s="268" t="s">
        <v>427</v>
      </c>
      <c r="AC2" s="267" t="s">
        <v>1181</v>
      </c>
      <c r="AD2" s="267" t="s">
        <v>1182</v>
      </c>
      <c r="AE2" s="267" t="s">
        <v>428</v>
      </c>
      <c r="AF2" s="267" t="s">
        <v>1186</v>
      </c>
      <c r="AG2" s="260" t="s">
        <v>143</v>
      </c>
      <c r="AH2" s="260" t="s">
        <v>1157</v>
      </c>
      <c r="AI2" s="267" t="s">
        <v>429</v>
      </c>
      <c r="AJ2" s="69" t="s">
        <v>1738</v>
      </c>
      <c r="AK2" s="69" t="s">
        <v>1739</v>
      </c>
      <c r="AL2" s="69" t="s">
        <v>1991</v>
      </c>
      <c r="AM2" s="69" t="s">
        <v>1996</v>
      </c>
    </row>
    <row r="3" spans="2:39">
      <c r="B3" s="261" t="s">
        <v>430</v>
      </c>
      <c r="C3" s="1894" t="str">
        <f ca="1">+D3</f>
        <v>★★★★차량가는 개별소비세 : 5.0%기준을 입력하세요★★★★</v>
      </c>
      <c r="D3" s="269" t="str">
        <f ca="1">IF(OFFSET($D$2,1,$B$2)=0,"",OFFSET($D$2,1,$B$2))</f>
        <v>★★★★차량가는 개별소비세 : 5.0%기준을 입력하세요★★★★</v>
      </c>
      <c r="E3" s="1385">
        <v>1</v>
      </c>
      <c r="F3" s="480" t="s">
        <v>1946</v>
      </c>
      <c r="G3" s="480" t="s">
        <v>1946</v>
      </c>
      <c r="H3" s="480" t="s">
        <v>1946</v>
      </c>
      <c r="I3" s="480" t="s">
        <v>1946</v>
      </c>
      <c r="J3" s="480" t="s">
        <v>1946</v>
      </c>
      <c r="K3" s="480" t="s">
        <v>1946</v>
      </c>
      <c r="L3" s="480" t="s">
        <v>1946</v>
      </c>
      <c r="M3" s="480" t="s">
        <v>1946</v>
      </c>
      <c r="O3" s="259" t="e">
        <f ca="1">VLOOKUP($D3,모델정보데이터!$AM$4:$BQ$398,3,0)</f>
        <v>#N/A</v>
      </c>
      <c r="P3" s="582" t="e">
        <f ca="1">VLOOKUP($D3,모델정보데이터!$AM$4:$BQ$398,4,0)</f>
        <v>#N/A</v>
      </c>
      <c r="Q3" s="582" t="e">
        <f ca="1">VLOOKUP($D3,모델정보데이터!$AM$4:$BQ$398,5,0)</f>
        <v>#N/A</v>
      </c>
      <c r="R3" s="582" t="e">
        <f ca="1">VLOOKUP($D3,모델정보데이터!$AM$4:$BQ$398,6,0)</f>
        <v>#N/A</v>
      </c>
      <c r="S3" s="582" t="e">
        <f ca="1">VLOOKUP($D3,모델정보데이터!$AM$4:$BQ$398,7,0)</f>
        <v>#N/A</v>
      </c>
      <c r="T3" s="582" t="e">
        <f ca="1">VLOOKUP($D3,모델정보데이터!$AM$4:$BQ$398,15,0)</f>
        <v>#N/A</v>
      </c>
      <c r="U3" s="582" t="e">
        <f ca="1">VLOOKUP($D3,모델정보데이터!$AM$4:$BQ$398,16,0)</f>
        <v>#N/A</v>
      </c>
      <c r="V3" s="582" t="e">
        <f ca="1">VLOOKUP($D3,모델정보데이터!$AM$4:$BQ$398,8,0)</f>
        <v>#N/A</v>
      </c>
      <c r="W3" s="582" t="e">
        <f ca="1">VLOOKUP($D3,모델정보데이터!$AM$4:$BQ$398,9,0)</f>
        <v>#N/A</v>
      </c>
      <c r="X3" s="582" t="e">
        <f ca="1">VLOOKUP($D3,모델정보데이터!$AM$4:$BM$278,27,0)</f>
        <v>#N/A</v>
      </c>
      <c r="Y3" s="582" t="e">
        <f ca="1">VLOOKUP($D3,모델정보데이터!$AM$4:$BQ$398,11,0)</f>
        <v>#N/A</v>
      </c>
      <c r="Z3" s="582" t="e">
        <f ca="1">VLOOKUP($D3,모델정보데이터!$AM$4:$BQ$398,18,0)</f>
        <v>#N/A</v>
      </c>
      <c r="AA3" s="582" t="e">
        <f ca="1">VLOOKUP($D3,모델정보데이터!$AM$4:$BQ$398,12,0)</f>
        <v>#N/A</v>
      </c>
      <c r="AB3" s="583" t="e">
        <f ca="1">VLOOKUP($D3,모델정보데이터!$AM$4:$BQ$398,13,0)</f>
        <v>#N/A</v>
      </c>
      <c r="AC3" s="582" t="e">
        <f ca="1">VLOOKUP($D3,모델정보데이터!$AM$4:$BQ$398,17,0)</f>
        <v>#N/A</v>
      </c>
      <c r="AD3" s="582" t="e">
        <f ca="1">VLOOKUP($D3,모델정보데이터!$AM$4:$BQ$398,10,0)</f>
        <v>#N/A</v>
      </c>
      <c r="AE3" s="582">
        <f ca="1">IFERROR(VLOOKUP(D3,모델정보데이터!$AM$3:$BD$278,27,0),0)</f>
        <v>0</v>
      </c>
      <c r="AF3" s="1134" t="e">
        <f ca="1">VLOOKUP($D3,모델정보데이터!$AM$4:$BQ$398,14,0)</f>
        <v>#N/A</v>
      </c>
      <c r="AG3" s="260" t="e">
        <f ca="1">VLOOKUP($D3,모델정보데이터!AM:BQ,30,0)</f>
        <v>#N/A</v>
      </c>
      <c r="AH3" s="260" t="e">
        <f ca="1">VLOOKUP($D3,모델정보데이터!AM:BQ,31,0)</f>
        <v>#N/A</v>
      </c>
      <c r="AI3" s="260" t="e">
        <f ca="1">VLOOKUP($D3,모델정보데이터!AM:BQ,19,0)</f>
        <v>#N/A</v>
      </c>
      <c r="AJ3" s="69" t="e">
        <f ca="1">VLOOKUP($D3,모델정보데이터!AM:BQ,21,0)</f>
        <v>#N/A</v>
      </c>
      <c r="AK3" s="69" t="e">
        <f ca="1">VLOOKUP($D3,모델정보데이터!AM:BQ,22,0)</f>
        <v>#N/A</v>
      </c>
      <c r="AL3" s="69" t="e">
        <f ca="1">VLOOKUP($D3,모델정보데이터!AM:BQ,20,0)</f>
        <v>#N/A</v>
      </c>
      <c r="AM3" s="69" t="e">
        <f ca="1">VLOOKUP($D3,모델정보데이터!AM:BQ,23,0)</f>
        <v>#N/A</v>
      </c>
    </row>
    <row r="4" spans="2:39">
      <c r="B4" s="270" t="s">
        <v>95</v>
      </c>
      <c r="C4" s="1894" t="str">
        <f t="shared" ref="C4:C67" ca="1" si="0">+D4</f>
        <v>—————————◆아반떼◆———————————————</v>
      </c>
      <c r="D4" s="269" t="str">
        <f ca="1">IF(OFFSET($D$2,2,$B$2)=0,"",OFFSET($D$2,2,$B$2))</f>
        <v>—————————◆아반떼◆———————————————</v>
      </c>
      <c r="E4" s="1385">
        <v>2</v>
      </c>
      <c r="F4" s="41" t="s">
        <v>1010</v>
      </c>
      <c r="G4" s="61" t="s">
        <v>958</v>
      </c>
      <c r="H4" s="41" t="s">
        <v>959</v>
      </c>
      <c r="I4" s="1369" t="s">
        <v>960</v>
      </c>
      <c r="J4" s="271" t="s">
        <v>1712</v>
      </c>
      <c r="K4" s="41" t="s">
        <v>1141</v>
      </c>
      <c r="L4" s="271" t="s">
        <v>1109</v>
      </c>
      <c r="M4" s="41" t="s">
        <v>1804</v>
      </c>
      <c r="O4" s="259" t="e">
        <f ca="1">VLOOKUP($D4,모델정보데이터!$AM$4:$BQ$398,3,0)</f>
        <v>#N/A</v>
      </c>
      <c r="P4" s="582" t="e">
        <f ca="1">VLOOKUP($D4,모델정보데이터!$AM$4:$BQ$398,4,0)</f>
        <v>#N/A</v>
      </c>
      <c r="Q4" s="582" t="e">
        <f ca="1">VLOOKUP($D4,모델정보데이터!$AM$4:$BQ$398,5,0)</f>
        <v>#N/A</v>
      </c>
      <c r="R4" s="582" t="e">
        <f ca="1">VLOOKUP($D4,모델정보데이터!$AM$4:$BQ$398,6,0)</f>
        <v>#N/A</v>
      </c>
      <c r="S4" s="582" t="e">
        <f ca="1">VLOOKUP($D4,모델정보데이터!$AM$4:$BQ$398,7,0)</f>
        <v>#N/A</v>
      </c>
      <c r="T4" s="582" t="e">
        <f ca="1">VLOOKUP($D4,모델정보데이터!$AM$4:$BQ$398,15,0)</f>
        <v>#N/A</v>
      </c>
      <c r="U4" s="582" t="e">
        <f ca="1">VLOOKUP($D4,모델정보데이터!$AM$4:$BQ$398,16,0)</f>
        <v>#N/A</v>
      </c>
      <c r="V4" s="582" t="e">
        <f ca="1">VLOOKUP($D4,모델정보데이터!$AM$4:$BQ$398,8,0)</f>
        <v>#N/A</v>
      </c>
      <c r="W4" s="582" t="e">
        <f ca="1">VLOOKUP($D4,모델정보데이터!$AM$4:$BQ$398,9,0)</f>
        <v>#N/A</v>
      </c>
      <c r="X4" s="582" t="e">
        <f ca="1">VLOOKUP($D4,모델정보데이터!$AM$4:$BM$278,27,0)</f>
        <v>#N/A</v>
      </c>
      <c r="Y4" s="582" t="e">
        <f ca="1">VLOOKUP($D4,모델정보데이터!$AM$4:$BQ$398,11,0)</f>
        <v>#N/A</v>
      </c>
      <c r="Z4" s="582" t="e">
        <f ca="1">VLOOKUP($D4,모델정보데이터!$AM$4:$BQ$398,18,0)</f>
        <v>#N/A</v>
      </c>
      <c r="AA4" s="582" t="e">
        <f ca="1">VLOOKUP($D4,모델정보데이터!$AM$4:$BQ$398,12,0)</f>
        <v>#N/A</v>
      </c>
      <c r="AB4" s="583" t="e">
        <f ca="1">VLOOKUP($D4,모델정보데이터!$AM$4:$BQ$398,13,0)</f>
        <v>#N/A</v>
      </c>
      <c r="AC4" s="582" t="e">
        <f ca="1">VLOOKUP($D4,모델정보데이터!$AM$4:$BQ$398,17,0)</f>
        <v>#N/A</v>
      </c>
      <c r="AD4" s="582" t="e">
        <f ca="1">VLOOKUP($D4,모델정보데이터!$AM$4:$BQ$398,10,0)</f>
        <v>#N/A</v>
      </c>
      <c r="AE4" s="582">
        <f ca="1">IFERROR(VLOOKUP(D4,모델정보데이터!$AM$3:$BD$278,27,0),0)</f>
        <v>0</v>
      </c>
      <c r="AF4" s="1134" t="e">
        <f ca="1">VLOOKUP($D4,모델정보데이터!$AM$4:$BQ$398,14,0)</f>
        <v>#N/A</v>
      </c>
      <c r="AG4" s="260" t="e">
        <f ca="1">VLOOKUP($D4,모델정보데이터!AM:BQ,30,0)</f>
        <v>#N/A</v>
      </c>
      <c r="AH4" s="260" t="e">
        <f ca="1">VLOOKUP($D4,모델정보데이터!AM:BQ,31,0)</f>
        <v>#N/A</v>
      </c>
      <c r="AI4" s="260" t="e">
        <f ca="1">VLOOKUP($D4,모델정보데이터!AM:BQ,19,0)</f>
        <v>#N/A</v>
      </c>
      <c r="AJ4" s="69" t="e">
        <f ca="1">VLOOKUP($D4,모델정보데이터!AM:BQ,21,0)</f>
        <v>#N/A</v>
      </c>
      <c r="AK4" s="69" t="e">
        <f ca="1">VLOOKUP($D4,모델정보데이터!AM:BQ,22,0)</f>
        <v>#N/A</v>
      </c>
      <c r="AL4" s="69" t="e">
        <f ca="1">VLOOKUP($D4,모델정보데이터!AM:BQ,20,0)</f>
        <v>#N/A</v>
      </c>
      <c r="AM4" s="69" t="e">
        <f ca="1">VLOOKUP($D4,모델정보데이터!AM:BQ,23,0)</f>
        <v>#N/A</v>
      </c>
    </row>
    <row r="5" spans="2:39">
      <c r="B5" s="270" t="s">
        <v>420</v>
      </c>
      <c r="C5" s="1894" t="str">
        <f t="shared" ca="1" si="0"/>
        <v xml:space="preserve">아반떼 가솔린 1.6 </v>
      </c>
      <c r="D5" s="269" t="str">
        <f ca="1">IF(OFFSET($D$2,3,$B$2)=0,"",OFFSET($D$2,3,$B$2))</f>
        <v xml:space="preserve">아반떼 가솔린 1.6 </v>
      </c>
      <c r="E5" s="1385">
        <v>3</v>
      </c>
      <c r="F5" s="41" t="s">
        <v>1045</v>
      </c>
      <c r="G5" s="1387" t="s">
        <v>1136</v>
      </c>
      <c r="H5" s="41" t="s">
        <v>91</v>
      </c>
      <c r="I5" s="1369" t="s">
        <v>1319</v>
      </c>
      <c r="J5" s="271" t="s">
        <v>1406</v>
      </c>
      <c r="K5" s="41" t="s">
        <v>1098</v>
      </c>
      <c r="L5" s="271" t="s">
        <v>1717</v>
      </c>
      <c r="M5" s="482" t="s">
        <v>1999</v>
      </c>
      <c r="O5" s="259">
        <f ca="1">VLOOKUP($D5,모델정보데이터!$AM$4:$BQ$398,3,0)</f>
        <v>1598</v>
      </c>
      <c r="P5" s="582" t="str">
        <f ca="1">VLOOKUP($D5,모델정보데이터!$AM$4:$BQ$398,4,0)</f>
        <v>M</v>
      </c>
      <c r="Q5" s="582">
        <f ca="1">VLOOKUP($D5,모델정보데이터!$AM$4:$BQ$398,5,0)</f>
        <v>5</v>
      </c>
      <c r="R5" s="582" t="str">
        <f ca="1">VLOOKUP($D5,모델정보데이터!$AM$4:$BQ$398,6,0)</f>
        <v>승용</v>
      </c>
      <c r="S5" s="582" t="str">
        <f ca="1">VLOOKUP($D5,모델정보데이터!$AM$4:$BQ$398,7,0)</f>
        <v>승용</v>
      </c>
      <c r="T5" s="582" t="str">
        <f ca="1">VLOOKUP($D5,모델정보데이터!$AM$4:$BQ$398,15,0)</f>
        <v>A8</v>
      </c>
      <c r="U5" s="582" t="str">
        <f ca="1">VLOOKUP($D5,모델정보데이터!$AM$4:$BQ$398,16,0)</f>
        <v>A7</v>
      </c>
      <c r="V5" s="582" t="str">
        <f ca="1">VLOOKUP($D5,모델정보데이터!$AM$4:$BQ$398,8,0)</f>
        <v>2급</v>
      </c>
      <c r="W5" s="582" t="str">
        <f ca="1">VLOOKUP($D5,모델정보데이터!$AM$4:$BQ$398,9,0)</f>
        <v>02:울산</v>
      </c>
      <c r="X5" s="582" t="str">
        <f ca="1">VLOOKUP($D5,모델정보데이터!$AM$4:$BM$278,27,0)</f>
        <v>유림로지텍</v>
      </c>
      <c r="Y5" s="582" t="str">
        <f ca="1">VLOOKUP($D5,모델정보데이터!$AM$4:$BQ$398,11,0)</f>
        <v>D</v>
      </c>
      <c r="Z5" s="582" t="str">
        <f ca="1">VLOOKUP($D5,모델정보데이터!$AM$4:$BQ$398,18,0)</f>
        <v>KB손보</v>
      </c>
      <c r="AA5" s="582" t="str">
        <f ca="1">VLOOKUP($D5,모델정보데이터!$AM$4:$BQ$398,12,0)</f>
        <v>전략</v>
      </c>
      <c r="AB5" s="583">
        <f ca="1">VLOOKUP($D5,모델정보데이터!$AM$4:$BQ$398,13,0)</f>
        <v>0.03</v>
      </c>
      <c r="AC5" s="582">
        <f ca="1">VLOOKUP($D5,모델정보데이터!$AM$4:$BQ$398,17,0)</f>
        <v>0</v>
      </c>
      <c r="AD5" s="582">
        <f ca="1">VLOOKUP($D5,모델정보데이터!$AM$4:$BQ$398,10,0)</f>
        <v>0</v>
      </c>
      <c r="AE5" s="582">
        <f ca="1">IFERROR(VLOOKUP(D5,모델정보데이터!$AM$3:$BD$278,27,0),0)</f>
        <v>0</v>
      </c>
      <c r="AF5" s="1134">
        <f ca="1">VLOOKUP($D5,모델정보데이터!$AM$4:$BQ$398,14,0)</f>
        <v>0</v>
      </c>
      <c r="AG5" s="260">
        <f ca="1">VLOOKUP($D5,모델정보데이터!AM:BQ,30,0)</f>
        <v>6.8000000000000005E-2</v>
      </c>
      <c r="AH5" s="260">
        <f ca="1">VLOOKUP($D5,모델정보데이터!AM:BQ,31,0)</f>
        <v>6.1000000000000006E-2</v>
      </c>
      <c r="AI5" s="260" t="str">
        <f ca="1">VLOOKUP($D5,모델정보데이터!AM:BQ,19,0)</f>
        <v>현대</v>
      </c>
      <c r="AJ5" s="69">
        <f ca="1">VLOOKUP($D5,모델정보데이터!AM:BQ,21,0)</f>
        <v>77000</v>
      </c>
      <c r="AK5" s="69">
        <f ca="1">VLOOKUP($D5,모델정보데이터!AM:BQ,22,0)</f>
        <v>301000</v>
      </c>
      <c r="AL5" s="69">
        <f ca="1">VLOOKUP($D5,모델정보데이터!AM:BQ,20,0)</f>
        <v>4.1000000000000002E-2</v>
      </c>
      <c r="AM5" s="69">
        <f ca="1">VLOOKUP($D5,모델정보데이터!AM:BQ,23,0)</f>
        <v>0</v>
      </c>
    </row>
    <row r="6" spans="2:39">
      <c r="B6" s="270" t="s">
        <v>111</v>
      </c>
      <c r="C6" s="1894" t="str">
        <f t="shared" ca="1" si="0"/>
        <v xml:space="preserve">아반떼 가솔린 1.6 하이브리드 </v>
      </c>
      <c r="D6" s="269" t="str">
        <f ca="1">IF(OFFSET($D$2,4,$B$2)=0,"",OFFSET($D$2,4,$B$2))</f>
        <v xml:space="preserve">아반떼 가솔린 1.6 하이브리드 </v>
      </c>
      <c r="E6" s="1385">
        <v>4</v>
      </c>
      <c r="F6" s="41" t="s">
        <v>1046</v>
      </c>
      <c r="G6" s="1387" t="s">
        <v>1072</v>
      </c>
      <c r="H6" s="41" t="s">
        <v>1442</v>
      </c>
      <c r="I6" s="1369" t="s">
        <v>967</v>
      </c>
      <c r="J6" s="271" t="s">
        <v>1407</v>
      </c>
      <c r="K6" s="41" t="s">
        <v>1138</v>
      </c>
      <c r="L6" s="271" t="s">
        <v>1106</v>
      </c>
      <c r="M6" s="482" t="s">
        <v>1805</v>
      </c>
      <c r="O6" s="259">
        <f ca="1">VLOOKUP($D6,모델정보데이터!$AM$4:$BQ$398,3,0)</f>
        <v>1580</v>
      </c>
      <c r="P6" s="582" t="str">
        <f ca="1">VLOOKUP($D6,모델정보데이터!$AM$4:$BQ$398,4,0)</f>
        <v>T</v>
      </c>
      <c r="Q6" s="582">
        <f ca="1">VLOOKUP($D6,모델정보데이터!$AM$4:$BQ$398,5,0)</f>
        <v>5</v>
      </c>
      <c r="R6" s="582" t="str">
        <f ca="1">VLOOKUP($D6,모델정보데이터!$AM$4:$BQ$398,6,0)</f>
        <v>승용</v>
      </c>
      <c r="S6" s="582" t="str">
        <f ca="1">VLOOKUP($D6,모델정보데이터!$AM$4:$BQ$398,7,0)</f>
        <v>승용</v>
      </c>
      <c r="T6" s="582" t="str">
        <f ca="1">VLOOKUP($D6,모델정보데이터!$AM$4:$BQ$398,15,0)</f>
        <v>A9</v>
      </c>
      <c r="U6" s="582" t="str">
        <f ca="1">VLOOKUP($D6,모델정보데이터!$AM$4:$BQ$398,16,0)</f>
        <v>A8</v>
      </c>
      <c r="V6" s="582" t="str">
        <f ca="1">VLOOKUP($D6,모델정보데이터!$AM$4:$BQ$398,8,0)</f>
        <v>2급</v>
      </c>
      <c r="W6" s="582" t="str">
        <f ca="1">VLOOKUP($D6,모델정보데이터!$AM$4:$BQ$398,9,0)</f>
        <v>02:울산</v>
      </c>
      <c r="X6" s="582" t="str">
        <f ca="1">VLOOKUP($D6,모델정보데이터!$AM$4:$BM$278,27,0)</f>
        <v>유림로지텍</v>
      </c>
      <c r="Y6" s="582" t="str">
        <f ca="1">VLOOKUP($D6,모델정보데이터!$AM$4:$BQ$398,11,0)</f>
        <v>D</v>
      </c>
      <c r="Z6" s="582" t="str">
        <f ca="1">VLOOKUP($D6,모델정보데이터!$AM$4:$BQ$398,18,0)</f>
        <v>KB손보</v>
      </c>
      <c r="AA6" s="582" t="str">
        <f ca="1">VLOOKUP($D6,모델정보데이터!$AM$4:$BQ$398,12,0)</f>
        <v>전략</v>
      </c>
      <c r="AB6" s="583">
        <f ca="1">VLOOKUP($D6,모델정보데이터!$AM$4:$BQ$398,13,0)</f>
        <v>0.03</v>
      </c>
      <c r="AC6" s="582">
        <f ca="1">VLOOKUP($D6,모델정보데이터!$AM$4:$BQ$398,17,0)</f>
        <v>0</v>
      </c>
      <c r="AD6" s="582">
        <f ca="1">VLOOKUP($D6,모델정보데이터!$AM$4:$BQ$398,10,0)</f>
        <v>0</v>
      </c>
      <c r="AE6" s="582">
        <f ca="1">IFERROR(VLOOKUP(D6,모델정보데이터!$AM$3:$BD$278,27,0),0)</f>
        <v>0</v>
      </c>
      <c r="AF6" s="1134">
        <f ca="1">VLOOKUP($D6,모델정보데이터!$AM$4:$BQ$398,14,0)</f>
        <v>0</v>
      </c>
      <c r="AG6" s="260">
        <f ca="1">VLOOKUP($D6,모델정보데이터!AM:BQ,30,0)</f>
        <v>6.8000000000000005E-2</v>
      </c>
      <c r="AH6" s="260">
        <f ca="1">VLOOKUP($D6,모델정보데이터!AM:BQ,31,0)</f>
        <v>6.1000000000000006E-2</v>
      </c>
      <c r="AI6" s="260" t="str">
        <f ca="1">VLOOKUP($D6,모델정보데이터!AM:BQ,19,0)</f>
        <v>현대</v>
      </c>
      <c r="AJ6" s="69">
        <f ca="1">VLOOKUP($D6,모델정보데이터!AM:BQ,21,0)</f>
        <v>77000</v>
      </c>
      <c r="AK6" s="69">
        <f ca="1">VLOOKUP($D6,모델정보데이터!AM:BQ,22,0)</f>
        <v>301000</v>
      </c>
      <c r="AL6" s="69">
        <f ca="1">VLOOKUP($D6,모델정보데이터!AM:BQ,20,0)</f>
        <v>4.1000000000000002E-2</v>
      </c>
      <c r="AM6" s="69">
        <f ca="1">VLOOKUP($D6,모델정보데이터!AM:BQ,23,0)</f>
        <v>0</v>
      </c>
    </row>
    <row r="7" spans="2:39">
      <c r="B7" s="270" t="s">
        <v>1419</v>
      </c>
      <c r="C7" s="1894" t="str">
        <f t="shared" ca="1" si="0"/>
        <v xml:space="preserve">아반떼 LPG 1.6 (일반) </v>
      </c>
      <c r="D7" s="269" t="str">
        <f ca="1">IF(OFFSET($D$2,5,$B$2)=0,"",OFFSET($D$2,5,$B$2))</f>
        <v xml:space="preserve">아반떼 LPG 1.6 (일반) </v>
      </c>
      <c r="E7" s="1385">
        <v>5</v>
      </c>
      <c r="F7" s="41" t="s">
        <v>1047</v>
      </c>
      <c r="G7" s="1387" t="s">
        <v>1143</v>
      </c>
      <c r="H7" s="41" t="s">
        <v>1125</v>
      </c>
      <c r="I7" s="1369" t="s">
        <v>1161</v>
      </c>
      <c r="J7" s="271" t="s">
        <v>1415</v>
      </c>
      <c r="K7" s="41" t="s">
        <v>1099</v>
      </c>
      <c r="L7" s="271" t="s">
        <v>1500</v>
      </c>
      <c r="M7" s="482" t="s">
        <v>1962</v>
      </c>
      <c r="O7" s="259">
        <f ca="1">VLOOKUP($D7,모델정보데이터!$AM$4:$BQ$398,3,0)</f>
        <v>1591</v>
      </c>
      <c r="P7" s="582" t="str">
        <f ca="1">VLOOKUP($D7,모델정보데이터!$AM$4:$BQ$398,4,0)</f>
        <v>L</v>
      </c>
      <c r="Q7" s="582">
        <f ca="1">VLOOKUP($D7,모델정보데이터!$AM$4:$BQ$398,5,0)</f>
        <v>5</v>
      </c>
      <c r="R7" s="582" t="str">
        <f ca="1">VLOOKUP($D7,모델정보데이터!$AM$4:$BQ$398,6,0)</f>
        <v>승용</v>
      </c>
      <c r="S7" s="582" t="str">
        <f ca="1">VLOOKUP($D7,모델정보데이터!$AM$4:$BQ$398,7,0)</f>
        <v>승용</v>
      </c>
      <c r="T7" s="582" t="str">
        <f ca="1">VLOOKUP($D7,모델정보데이터!$AM$4:$BQ$398,15,0)</f>
        <v>D</v>
      </c>
      <c r="U7" s="582" t="str">
        <f ca="1">VLOOKUP($D7,모델정보데이터!$AM$4:$BQ$398,16,0)</f>
        <v>A2</v>
      </c>
      <c r="V7" s="582" t="str">
        <f ca="1">VLOOKUP($D7,모델정보데이터!$AM$4:$BQ$398,8,0)</f>
        <v>2급</v>
      </c>
      <c r="W7" s="582" t="str">
        <f ca="1">VLOOKUP($D7,모델정보데이터!$AM$4:$BQ$398,9,0)</f>
        <v>02:울산</v>
      </c>
      <c r="X7" s="582" t="str">
        <f ca="1">VLOOKUP($D7,모델정보데이터!$AM$4:$BM$278,27,0)</f>
        <v>유림로지텍</v>
      </c>
      <c r="Y7" s="582" t="str">
        <f ca="1">VLOOKUP($D7,모델정보데이터!$AM$4:$BQ$398,11,0)</f>
        <v>D</v>
      </c>
      <c r="Z7" s="582" t="str">
        <f ca="1">VLOOKUP($D7,모델정보데이터!$AM$4:$BQ$398,18,0)</f>
        <v>KB손보</v>
      </c>
      <c r="AA7" s="582" t="str">
        <f ca="1">VLOOKUP($D7,모델정보데이터!$AM$4:$BQ$398,12,0)</f>
        <v>전략</v>
      </c>
      <c r="AB7" s="583">
        <f ca="1">VLOOKUP($D7,모델정보데이터!$AM$4:$BQ$398,13,0)</f>
        <v>0.03</v>
      </c>
      <c r="AC7" s="582">
        <f ca="1">VLOOKUP($D7,모델정보데이터!$AM$4:$BQ$398,17,0)</f>
        <v>0</v>
      </c>
      <c r="AD7" s="582">
        <f ca="1">VLOOKUP($D7,모델정보데이터!$AM$4:$BQ$398,10,0)</f>
        <v>0</v>
      </c>
      <c r="AE7" s="582">
        <f ca="1">IFERROR(VLOOKUP(D7,모델정보데이터!$AM$3:$BD$278,27,0),0)</f>
        <v>0</v>
      </c>
      <c r="AF7" s="1134">
        <f ca="1">VLOOKUP($D7,모델정보데이터!$AM$4:$BQ$398,14,0)</f>
        <v>0</v>
      </c>
      <c r="AG7" s="260">
        <f ca="1">VLOOKUP($D7,모델정보데이터!AM:BQ,30,0)</f>
        <v>6.8000000000000005E-2</v>
      </c>
      <c r="AH7" s="260">
        <f ca="1">VLOOKUP($D7,모델정보데이터!AM:BQ,31,0)</f>
        <v>6.1000000000000006E-2</v>
      </c>
      <c r="AI7" s="260" t="str">
        <f ca="1">VLOOKUP($D7,모델정보데이터!AM:BQ,19,0)</f>
        <v>현대</v>
      </c>
      <c r="AJ7" s="69">
        <f ca="1">VLOOKUP($D7,모델정보데이터!AM:BQ,21,0)</f>
        <v>77000</v>
      </c>
      <c r="AK7" s="69">
        <f ca="1">VLOOKUP($D7,모델정보데이터!AM:BQ,22,0)</f>
        <v>301000</v>
      </c>
      <c r="AL7" s="69">
        <f ca="1">VLOOKUP($D7,모델정보데이터!AM:BQ,20,0)</f>
        <v>4.1000000000000002E-2</v>
      </c>
      <c r="AM7" s="69">
        <f ca="1">VLOOKUP($D7,모델정보데이터!AM:BQ,23,0)</f>
        <v>0</v>
      </c>
    </row>
    <row r="8" spans="2:39" ht="13.5" thickBot="1">
      <c r="B8" s="270" t="s">
        <v>1418</v>
      </c>
      <c r="C8" s="1894" t="str">
        <f t="shared" ca="1" si="0"/>
        <v xml:space="preserve">아반떼 LPG 1.6 (렌터카용) </v>
      </c>
      <c r="D8" s="269" t="str">
        <f ca="1">IF(OFFSET($D$2,6,$B$2)=0,"",OFFSET($D$2,6,$B$2))</f>
        <v xml:space="preserve">아반떼 LPG 1.6 (렌터카용) </v>
      </c>
      <c r="E8" s="1385">
        <v>6</v>
      </c>
      <c r="F8" s="41" t="s">
        <v>1048</v>
      </c>
      <c r="G8" s="61" t="s">
        <v>963</v>
      </c>
      <c r="H8" s="41" t="s">
        <v>1075</v>
      </c>
      <c r="I8" s="1383"/>
      <c r="J8" s="271" t="s">
        <v>961</v>
      </c>
      <c r="K8" s="41" t="s">
        <v>1100</v>
      </c>
      <c r="L8" s="271" t="s">
        <v>1501</v>
      </c>
      <c r="M8" s="482" t="s">
        <v>1806</v>
      </c>
      <c r="O8" s="259">
        <f ca="1">VLOOKUP($D8,모델정보데이터!$AM$4:$BQ$398,3,0)</f>
        <v>1591</v>
      </c>
      <c r="P8" s="582" t="str">
        <f ca="1">VLOOKUP($D8,모델정보데이터!$AM$4:$BQ$398,4,0)</f>
        <v>R</v>
      </c>
      <c r="Q8" s="582">
        <f ca="1">VLOOKUP($D8,모델정보데이터!$AM$4:$BQ$398,5,0)</f>
        <v>5</v>
      </c>
      <c r="R8" s="582" t="str">
        <f ca="1">VLOOKUP($D8,모델정보데이터!$AM$4:$BQ$398,6,0)</f>
        <v>승용</v>
      </c>
      <c r="S8" s="582" t="str">
        <f ca="1">VLOOKUP($D8,모델정보데이터!$AM$4:$BQ$398,7,0)</f>
        <v>승용</v>
      </c>
      <c r="T8" s="582" t="str">
        <f ca="1">VLOOKUP($D8,모델정보데이터!$AM$4:$BQ$398,15,0)</f>
        <v>D</v>
      </c>
      <c r="U8" s="582" t="str">
        <f ca="1">VLOOKUP($D8,모델정보데이터!$AM$4:$BQ$398,16,0)</f>
        <v>A2</v>
      </c>
      <c r="V8" s="582" t="str">
        <f ca="1">VLOOKUP($D8,모델정보데이터!$AM$4:$BQ$398,8,0)</f>
        <v>2급</v>
      </c>
      <c r="W8" s="582" t="str">
        <f ca="1">VLOOKUP($D8,모델정보데이터!$AM$4:$BQ$398,9,0)</f>
        <v>02:울산</v>
      </c>
      <c r="X8" s="582" t="str">
        <f ca="1">VLOOKUP($D8,모델정보데이터!$AM$4:$BM$278,27,0)</f>
        <v>유림로지텍</v>
      </c>
      <c r="Y8" s="582" t="str">
        <f ca="1">VLOOKUP($D8,모델정보데이터!$AM$4:$BQ$398,11,0)</f>
        <v>D</v>
      </c>
      <c r="Z8" s="582" t="str">
        <f ca="1">VLOOKUP($D8,모델정보데이터!$AM$4:$BQ$398,18,0)</f>
        <v>KB손보</v>
      </c>
      <c r="AA8" s="582" t="str">
        <f ca="1">VLOOKUP($D8,모델정보데이터!$AM$4:$BQ$398,12,0)</f>
        <v>전략</v>
      </c>
      <c r="AB8" s="583">
        <f ca="1">VLOOKUP($D8,모델정보데이터!$AM$4:$BQ$398,13,0)</f>
        <v>0.03</v>
      </c>
      <c r="AC8" s="582">
        <f ca="1">VLOOKUP($D8,모델정보데이터!$AM$4:$BQ$398,17,0)</f>
        <v>0</v>
      </c>
      <c r="AD8" s="582">
        <f ca="1">VLOOKUP($D8,모델정보데이터!$AM$4:$BQ$398,10,0)</f>
        <v>0</v>
      </c>
      <c r="AE8" s="582">
        <f ca="1">IFERROR(VLOOKUP(D8,모델정보데이터!$AM$3:$BD$278,27,0),0)</f>
        <v>0</v>
      </c>
      <c r="AF8" s="1134">
        <f ca="1">VLOOKUP($D8,모델정보데이터!$AM$4:$BQ$398,14,0)</f>
        <v>0</v>
      </c>
      <c r="AG8" s="260">
        <f ca="1">VLOOKUP($D8,모델정보데이터!AM:BQ,30,0)</f>
        <v>6.8000000000000005E-2</v>
      </c>
      <c r="AH8" s="260">
        <f ca="1">VLOOKUP($D8,모델정보데이터!AM:BQ,31,0)</f>
        <v>6.1000000000000006E-2</v>
      </c>
      <c r="AI8" s="260" t="str">
        <f ca="1">VLOOKUP($D8,모델정보데이터!AM:BQ,19,0)</f>
        <v>현대</v>
      </c>
      <c r="AJ8" s="69">
        <f ca="1">VLOOKUP($D8,모델정보데이터!AM:BQ,21,0)</f>
        <v>77000</v>
      </c>
      <c r="AK8" s="69">
        <f ca="1">VLOOKUP($D8,모델정보데이터!AM:BQ,22,0)</f>
        <v>301000</v>
      </c>
      <c r="AL8" s="69">
        <f ca="1">VLOOKUP($D8,모델정보데이터!AM:BQ,20,0)</f>
        <v>4.1000000000000002E-2</v>
      </c>
      <c r="AM8" s="69">
        <f ca="1">VLOOKUP($D8,모델정보데이터!AM:BQ,23,0)</f>
        <v>0</v>
      </c>
    </row>
    <row r="9" spans="2:39">
      <c r="B9" s="270" t="s">
        <v>956</v>
      </c>
      <c r="C9" s="1894" t="str">
        <f t="shared" ca="1" si="0"/>
        <v>—————————◆쏘나타 디 엣지◆———————————————</v>
      </c>
      <c r="D9" s="269" t="str">
        <f ca="1">IF(OFFSET($D$2,7,$B$2)=0,"",OFFSET($D$2,7,$B$2))</f>
        <v>—————————◆쏘나타 디 엣지◆———————————————</v>
      </c>
      <c r="E9" s="1385">
        <v>7</v>
      </c>
      <c r="F9" s="41" t="s">
        <v>966</v>
      </c>
      <c r="G9" s="61" t="s">
        <v>1126</v>
      </c>
      <c r="H9" s="41" t="s">
        <v>1076</v>
      </c>
      <c r="I9" s="1369"/>
      <c r="J9" s="271" t="s">
        <v>1090</v>
      </c>
      <c r="K9" s="41" t="s">
        <v>1101</v>
      </c>
      <c r="L9" s="271" t="s">
        <v>1107</v>
      </c>
      <c r="M9" s="482" t="s">
        <v>1961</v>
      </c>
      <c r="O9" s="259" t="e">
        <f ca="1">VLOOKUP($D9,모델정보데이터!$AM$4:$BQ$398,3,0)</f>
        <v>#N/A</v>
      </c>
      <c r="P9" s="582" t="e">
        <f ca="1">VLOOKUP($D9,모델정보데이터!$AM$4:$BQ$398,4,0)</f>
        <v>#N/A</v>
      </c>
      <c r="Q9" s="582" t="e">
        <f ca="1">VLOOKUP($D9,모델정보데이터!$AM$4:$BQ$398,5,0)</f>
        <v>#N/A</v>
      </c>
      <c r="R9" s="582" t="e">
        <f ca="1">VLOOKUP($D9,모델정보데이터!$AM$4:$BQ$398,6,0)</f>
        <v>#N/A</v>
      </c>
      <c r="S9" s="582" t="e">
        <f ca="1">VLOOKUP($D9,모델정보데이터!$AM$4:$BQ$398,7,0)</f>
        <v>#N/A</v>
      </c>
      <c r="T9" s="582" t="e">
        <f ca="1">VLOOKUP($D9,모델정보데이터!$AM$4:$BQ$398,15,0)</f>
        <v>#N/A</v>
      </c>
      <c r="U9" s="582" t="e">
        <f ca="1">VLOOKUP($D9,모델정보데이터!$AM$4:$BQ$398,16,0)</f>
        <v>#N/A</v>
      </c>
      <c r="V9" s="582" t="e">
        <f ca="1">VLOOKUP($D9,모델정보데이터!$AM$4:$BQ$398,8,0)</f>
        <v>#N/A</v>
      </c>
      <c r="W9" s="582" t="e">
        <f ca="1">VLOOKUP($D9,모델정보데이터!$AM$4:$BQ$398,9,0)</f>
        <v>#N/A</v>
      </c>
      <c r="X9" s="582" t="e">
        <f ca="1">VLOOKUP($D9,모델정보데이터!$AM$4:$BM$278,27,0)</f>
        <v>#N/A</v>
      </c>
      <c r="Y9" s="582" t="e">
        <f ca="1">VLOOKUP($D9,모델정보데이터!$AM$4:$BQ$398,11,0)</f>
        <v>#N/A</v>
      </c>
      <c r="Z9" s="582" t="e">
        <f ca="1">VLOOKUP($D9,모델정보데이터!$AM$4:$BQ$398,18,0)</f>
        <v>#N/A</v>
      </c>
      <c r="AA9" s="582" t="e">
        <f ca="1">VLOOKUP($D9,모델정보데이터!$AM$4:$BQ$398,12,0)</f>
        <v>#N/A</v>
      </c>
      <c r="AB9" s="583" t="e">
        <f ca="1">VLOOKUP($D9,모델정보데이터!$AM$4:$BQ$398,13,0)</f>
        <v>#N/A</v>
      </c>
      <c r="AC9" s="582" t="e">
        <f ca="1">VLOOKUP($D9,모델정보데이터!$AM$4:$BQ$398,17,0)</f>
        <v>#N/A</v>
      </c>
      <c r="AD9" s="582" t="e">
        <f ca="1">VLOOKUP($D9,모델정보데이터!$AM$4:$BQ$398,10,0)</f>
        <v>#N/A</v>
      </c>
      <c r="AE9" s="582">
        <f ca="1">IFERROR(VLOOKUP(D9,모델정보데이터!$AM$3:$BD$278,27,0),0)</f>
        <v>0</v>
      </c>
      <c r="AF9" s="1134" t="e">
        <f ca="1">VLOOKUP($D9,모델정보데이터!$AM$4:$BQ$398,14,0)</f>
        <v>#N/A</v>
      </c>
      <c r="AG9" s="260" t="e">
        <f ca="1">VLOOKUP($D9,모델정보데이터!AM:BQ,30,0)</f>
        <v>#N/A</v>
      </c>
      <c r="AH9" s="260" t="e">
        <f ca="1">VLOOKUP($D9,모델정보데이터!AM:BQ,31,0)</f>
        <v>#N/A</v>
      </c>
      <c r="AI9" s="260" t="e">
        <f ca="1">VLOOKUP($D9,모델정보데이터!AM:BQ,19,0)</f>
        <v>#N/A</v>
      </c>
      <c r="AJ9" s="69" t="e">
        <f ca="1">VLOOKUP($D9,모델정보데이터!AM:BQ,21,0)</f>
        <v>#N/A</v>
      </c>
      <c r="AK9" s="69" t="e">
        <f ca="1">VLOOKUP($D9,모델정보데이터!AM:BQ,22,0)</f>
        <v>#N/A</v>
      </c>
      <c r="AL9" s="69" t="e">
        <f ca="1">VLOOKUP($D9,모델정보데이터!AM:BQ,20,0)</f>
        <v>#N/A</v>
      </c>
      <c r="AM9" s="69" t="e">
        <f ca="1">VLOOKUP($D9,모델정보데이터!AM:BQ,23,0)</f>
        <v>#N/A</v>
      </c>
    </row>
    <row r="10" spans="2:39" ht="13.5" thickBot="1">
      <c r="B10" s="472" t="str">
        <f>IF(렌터카견적내기!BI12=2,"불가","전기차")</f>
        <v>전기차</v>
      </c>
      <c r="C10" s="1894" t="str">
        <f t="shared" ca="1" si="0"/>
        <v xml:space="preserve">쏘나타 가솔린 2.0 하이브리드 </v>
      </c>
      <c r="D10" s="269" t="str">
        <f ca="1">IF(OFFSET($D$2,8,$B$2)=0,"",OFFSET($D$2,8,$B$2))</f>
        <v xml:space="preserve">쏘나타 가솔린 2.0 하이브리드 </v>
      </c>
      <c r="E10" s="1385">
        <v>8</v>
      </c>
      <c r="F10" s="41" t="s">
        <v>1049</v>
      </c>
      <c r="G10" s="61" t="s">
        <v>1127</v>
      </c>
      <c r="H10" s="41" t="s">
        <v>866</v>
      </c>
      <c r="I10" s="1369"/>
      <c r="J10" s="271" t="s">
        <v>1091</v>
      </c>
      <c r="K10" s="41" t="s">
        <v>1102</v>
      </c>
      <c r="L10" s="271" t="s">
        <v>962</v>
      </c>
      <c r="M10" s="41" t="s">
        <v>1807</v>
      </c>
      <c r="O10" s="259">
        <f ca="1">VLOOKUP($D10,모델정보데이터!$AM$4:$BQ$398,3,0)</f>
        <v>1999</v>
      </c>
      <c r="P10" s="582" t="str">
        <f ca="1">VLOOKUP($D10,모델정보데이터!$AM$4:$BQ$398,4,0)</f>
        <v>T</v>
      </c>
      <c r="Q10" s="582">
        <f ca="1">VLOOKUP($D10,모델정보데이터!$AM$4:$BQ$398,5,0)</f>
        <v>5</v>
      </c>
      <c r="R10" s="582" t="str">
        <f ca="1">VLOOKUP($D10,모델정보데이터!$AM$4:$BQ$398,6,0)</f>
        <v>승용</v>
      </c>
      <c r="S10" s="582" t="str">
        <f ca="1">VLOOKUP($D10,모델정보데이터!$AM$4:$BQ$398,7,0)</f>
        <v>승용</v>
      </c>
      <c r="T10" s="582" t="str">
        <f ca="1">VLOOKUP($D10,모델정보데이터!$AM$4:$BQ$398,15,0)</f>
        <v>A6</v>
      </c>
      <c r="U10" s="582" t="str">
        <f ca="1">VLOOKUP($D10,모델정보데이터!$AM$4:$BQ$398,16,0)</f>
        <v>A4</v>
      </c>
      <c r="V10" s="582" t="str">
        <f ca="1">VLOOKUP($D10,모델정보데이터!$AM$4:$BQ$398,8,0)</f>
        <v>3급</v>
      </c>
      <c r="W10" s="582" t="str">
        <f ca="1">VLOOKUP($D10,모델정보데이터!$AM$4:$BQ$398,9,0)</f>
        <v>01:아산</v>
      </c>
      <c r="X10" s="582" t="str">
        <f ca="1">VLOOKUP($D10,모델정보데이터!$AM$4:$BM$278,27,0)</f>
        <v>유림로지텍</v>
      </c>
      <c r="Y10" s="582" t="str">
        <f ca="1">VLOOKUP($D10,모델정보데이터!$AM$4:$BQ$398,11,0)</f>
        <v>D</v>
      </c>
      <c r="Z10" s="582" t="str">
        <f ca="1">VLOOKUP($D10,모델정보데이터!$AM$4:$BQ$398,18,0)</f>
        <v>공제조합</v>
      </c>
      <c r="AA10" s="582" t="str">
        <f ca="1">VLOOKUP($D10,모델정보데이터!$AM$4:$BQ$398,12,0)</f>
        <v>전략</v>
      </c>
      <c r="AB10" s="583">
        <f ca="1">VLOOKUP($D10,모델정보데이터!$AM$4:$BQ$398,13,0)</f>
        <v>0.03</v>
      </c>
      <c r="AC10" s="582">
        <f ca="1">VLOOKUP($D10,모델정보데이터!$AM$4:$BQ$398,17,0)</f>
        <v>0</v>
      </c>
      <c r="AD10" s="582">
        <f ca="1">VLOOKUP($D10,모델정보데이터!$AM$4:$BQ$398,10,0)</f>
        <v>0</v>
      </c>
      <c r="AE10" s="582">
        <f ca="1">IFERROR(VLOOKUP(D10,모델정보데이터!$AM$3:$BD$278,27,0),0)</f>
        <v>0</v>
      </c>
      <c r="AF10" s="1134">
        <f ca="1">VLOOKUP($D10,모델정보데이터!$AM$4:$BQ$398,14,0)</f>
        <v>0</v>
      </c>
      <c r="AG10" s="260">
        <f ca="1">VLOOKUP($D10,모델정보데이터!AM:BQ,30,0)</f>
        <v>6.8000000000000005E-2</v>
      </c>
      <c r="AH10" s="260">
        <f ca="1">VLOOKUP($D10,모델정보데이터!AM:BQ,31,0)</f>
        <v>6.1000000000000006E-2</v>
      </c>
      <c r="AI10" s="260" t="str">
        <f ca="1">VLOOKUP($D10,모델정보데이터!AM:BQ,19,0)</f>
        <v>현대</v>
      </c>
      <c r="AJ10" s="69">
        <f ca="1">VLOOKUP($D10,모델정보데이터!AM:BQ,21,0)</f>
        <v>0</v>
      </c>
      <c r="AK10" s="69">
        <f ca="1">VLOOKUP($D10,모델정보데이터!AM:BQ,22,0)</f>
        <v>178000</v>
      </c>
      <c r="AL10" s="69">
        <f ca="1">VLOOKUP($D10,모델정보데이터!AM:BQ,20,0)</f>
        <v>4.1000000000000002E-2</v>
      </c>
      <c r="AM10" s="69">
        <f ca="1">VLOOKUP($D10,모델정보데이터!AM:BQ,23,0)</f>
        <v>0</v>
      </c>
    </row>
    <row r="11" spans="2:39">
      <c r="B11" s="272" t="s">
        <v>1190</v>
      </c>
      <c r="C11" s="1894" t="str">
        <f t="shared" ca="1" si="0"/>
        <v xml:space="preserve">쏘나타 가솔린 2.0 </v>
      </c>
      <c r="D11" s="269" t="str">
        <f ca="1">IF(OFFSET($D$2,9,$B$2)=0,"",OFFSET($D$2,9,$B$2))</f>
        <v xml:space="preserve">쏘나타 가솔린 2.0 </v>
      </c>
      <c r="E11" s="1385">
        <v>9</v>
      </c>
      <c r="F11" s="41" t="s">
        <v>953</v>
      </c>
      <c r="G11" s="61" t="s">
        <v>2008</v>
      </c>
      <c r="H11" s="41" t="s">
        <v>867</v>
      </c>
      <c r="I11" s="1369"/>
      <c r="J11" s="271" t="s">
        <v>1092</v>
      </c>
      <c r="L11" s="271" t="s">
        <v>916</v>
      </c>
      <c r="M11" s="482" t="s">
        <v>1288</v>
      </c>
      <c r="O11" s="259">
        <f ca="1">VLOOKUP($D11,모델정보데이터!$AM$4:$BQ$398,3,0)</f>
        <v>1999</v>
      </c>
      <c r="P11" s="582" t="str">
        <f ca="1">VLOOKUP($D11,모델정보데이터!$AM$4:$BQ$398,4,0)</f>
        <v>M</v>
      </c>
      <c r="Q11" s="582">
        <f ca="1">VLOOKUP($D11,모델정보데이터!$AM$4:$BQ$398,5,0)</f>
        <v>5</v>
      </c>
      <c r="R11" s="582" t="str">
        <f ca="1">VLOOKUP($D11,모델정보데이터!$AM$4:$BQ$398,6,0)</f>
        <v>승용</v>
      </c>
      <c r="S11" s="582" t="str">
        <f ca="1">VLOOKUP($D11,모델정보데이터!$AM$4:$BQ$398,7,0)</f>
        <v>승용</v>
      </c>
      <c r="T11" s="582" t="str">
        <f ca="1">VLOOKUP($D11,모델정보데이터!$AM$4:$BQ$398,15,0)</f>
        <v>A6</v>
      </c>
      <c r="U11" s="582" t="str">
        <f ca="1">VLOOKUP($D11,모델정보데이터!$AM$4:$BQ$398,16,0)</f>
        <v>A4</v>
      </c>
      <c r="V11" s="582" t="str">
        <f ca="1">VLOOKUP($D11,모델정보데이터!$AM$4:$BQ$398,8,0)</f>
        <v>3급</v>
      </c>
      <c r="W11" s="582" t="str">
        <f ca="1">VLOOKUP($D11,모델정보데이터!$AM$4:$BQ$398,9,0)</f>
        <v>01:아산</v>
      </c>
      <c r="X11" s="582" t="str">
        <f ca="1">VLOOKUP($D11,모델정보데이터!$AM$4:$BM$278,27,0)</f>
        <v>유림로지텍</v>
      </c>
      <c r="Y11" s="582" t="str">
        <f ca="1">VLOOKUP($D11,모델정보데이터!$AM$4:$BQ$398,11,0)</f>
        <v>D</v>
      </c>
      <c r="Z11" s="582" t="str">
        <f ca="1">VLOOKUP($D11,모델정보데이터!$AM$4:$BQ$398,18,0)</f>
        <v>공제조합</v>
      </c>
      <c r="AA11" s="582" t="str">
        <f ca="1">VLOOKUP($D11,모델정보데이터!$AM$4:$BQ$398,12,0)</f>
        <v>전략</v>
      </c>
      <c r="AB11" s="583">
        <f ca="1">VLOOKUP($D11,모델정보데이터!$AM$4:$BQ$398,13,0)</f>
        <v>0.03</v>
      </c>
      <c r="AC11" s="582">
        <f ca="1">VLOOKUP($D11,모델정보데이터!$AM$4:$BQ$398,17,0)</f>
        <v>0</v>
      </c>
      <c r="AD11" s="582">
        <f ca="1">VLOOKUP($D11,모델정보데이터!$AM$4:$BQ$398,10,0)</f>
        <v>0</v>
      </c>
      <c r="AE11" s="582">
        <f ca="1">IFERROR(VLOOKUP(D11,모델정보데이터!$AM$3:$BD$278,27,0),0)</f>
        <v>0</v>
      </c>
      <c r="AF11" s="1134">
        <f ca="1">VLOOKUP($D11,모델정보데이터!$AM$4:$BQ$398,14,0)</f>
        <v>0</v>
      </c>
      <c r="AG11" s="260">
        <f ca="1">VLOOKUP($D11,모델정보데이터!AM:BQ,30,0)</f>
        <v>6.8000000000000005E-2</v>
      </c>
      <c r="AH11" s="260">
        <f ca="1">VLOOKUP($D11,모델정보데이터!AM:BQ,31,0)</f>
        <v>6.1000000000000006E-2</v>
      </c>
      <c r="AI11" s="260" t="str">
        <f ca="1">VLOOKUP($D11,모델정보데이터!AM:BQ,19,0)</f>
        <v>현대</v>
      </c>
      <c r="AJ11" s="69">
        <f ca="1">VLOOKUP($D11,모델정보데이터!AM:BQ,21,0)</f>
        <v>0</v>
      </c>
      <c r="AK11" s="69">
        <f ca="1">VLOOKUP($D11,모델정보데이터!AM:BQ,22,0)</f>
        <v>178000</v>
      </c>
      <c r="AL11" s="69">
        <f ca="1">VLOOKUP($D11,모델정보데이터!AM:BQ,20,0)</f>
        <v>4.1000000000000002E-2</v>
      </c>
      <c r="AM11" s="69">
        <f ca="1">VLOOKUP($D11,모델정보데이터!AM:BQ,23,0)</f>
        <v>0</v>
      </c>
    </row>
    <row r="12" spans="2:39">
      <c r="B12" s="272"/>
      <c r="C12" s="1894" t="str">
        <f t="shared" ca="1" si="0"/>
        <v xml:space="preserve">쏘나타 가솔린 터보 1.6 </v>
      </c>
      <c r="D12" s="269" t="str">
        <f ca="1">IF(OFFSET($D$2,10,$B$2)=0,"",OFFSET($D$2,10,$B$2))</f>
        <v xml:space="preserve">쏘나타 가솔린 터보 1.6 </v>
      </c>
      <c r="E12" s="1385">
        <v>10</v>
      </c>
      <c r="F12" s="41" t="s">
        <v>1050</v>
      </c>
      <c r="G12" s="61" t="s">
        <v>1128</v>
      </c>
      <c r="H12" s="41" t="s">
        <v>868</v>
      </c>
      <c r="I12" s="1369"/>
      <c r="J12" s="271" t="s">
        <v>1093</v>
      </c>
      <c r="K12" s="41" t="s">
        <v>1771</v>
      </c>
      <c r="L12" s="271" t="s">
        <v>917</v>
      </c>
      <c r="M12" s="41" t="s">
        <v>1803</v>
      </c>
      <c r="O12" s="259">
        <f ca="1">VLOOKUP($D12,모델정보데이터!$AM$4:$BQ$398,3,0)</f>
        <v>1598</v>
      </c>
      <c r="P12" s="582" t="str">
        <f ca="1">VLOOKUP($D12,모델정보데이터!$AM$4:$BQ$398,4,0)</f>
        <v>M</v>
      </c>
      <c r="Q12" s="582">
        <f ca="1">VLOOKUP($D12,모델정보데이터!$AM$4:$BQ$398,5,0)</f>
        <v>5</v>
      </c>
      <c r="R12" s="582" t="str">
        <f ca="1">VLOOKUP($D12,모델정보데이터!$AM$4:$BQ$398,6,0)</f>
        <v>승용</v>
      </c>
      <c r="S12" s="582" t="str">
        <f ca="1">VLOOKUP($D12,모델정보데이터!$AM$4:$BQ$398,7,0)</f>
        <v>승용</v>
      </c>
      <c r="T12" s="582" t="str">
        <f ca="1">VLOOKUP($D12,모델정보데이터!$AM$4:$BQ$398,15,0)</f>
        <v>A4</v>
      </c>
      <c r="U12" s="582" t="str">
        <f ca="1">VLOOKUP($D12,모델정보데이터!$AM$4:$BQ$398,16,0)</f>
        <v>A4</v>
      </c>
      <c r="V12" s="582" t="str">
        <f ca="1">VLOOKUP($D12,모델정보데이터!$AM$4:$BQ$398,8,0)</f>
        <v>2급</v>
      </c>
      <c r="W12" s="582" t="str">
        <f ca="1">VLOOKUP($D12,모델정보데이터!$AM$4:$BQ$398,9,0)</f>
        <v>01:아산</v>
      </c>
      <c r="X12" s="582" t="str">
        <f ca="1">VLOOKUP($D12,모델정보데이터!$AM$4:$BM$278,27,0)</f>
        <v>유림로지텍</v>
      </c>
      <c r="Y12" s="582" t="str">
        <f ca="1">VLOOKUP($D12,모델정보데이터!$AM$4:$BQ$398,11,0)</f>
        <v>D</v>
      </c>
      <c r="Z12" s="582" t="str">
        <f ca="1">VLOOKUP($D12,모델정보데이터!$AM$4:$BQ$398,18,0)</f>
        <v>공제조합</v>
      </c>
      <c r="AA12" s="582" t="str">
        <f ca="1">VLOOKUP($D12,모델정보데이터!$AM$4:$BQ$398,12,0)</f>
        <v>전략</v>
      </c>
      <c r="AB12" s="583">
        <f ca="1">VLOOKUP($D12,모델정보데이터!$AM$4:$BQ$398,13,0)</f>
        <v>0.03</v>
      </c>
      <c r="AC12" s="582">
        <f ca="1">VLOOKUP($D12,모델정보데이터!$AM$4:$BQ$398,17,0)</f>
        <v>0</v>
      </c>
      <c r="AD12" s="582">
        <f ca="1">VLOOKUP($D12,모델정보데이터!$AM$4:$BQ$398,10,0)</f>
        <v>0</v>
      </c>
      <c r="AE12" s="582">
        <f ca="1">IFERROR(VLOOKUP(D12,모델정보데이터!$AM$3:$BD$278,27,0),0)</f>
        <v>0</v>
      </c>
      <c r="AF12" s="1134">
        <f ca="1">VLOOKUP($D12,모델정보데이터!$AM$4:$BQ$398,14,0)</f>
        <v>0</v>
      </c>
      <c r="AG12" s="260">
        <f ca="1">VLOOKUP($D12,모델정보데이터!AM:BQ,30,0)</f>
        <v>6.8000000000000005E-2</v>
      </c>
      <c r="AH12" s="260">
        <f ca="1">VLOOKUP($D12,모델정보데이터!AM:BQ,31,0)</f>
        <v>6.1000000000000006E-2</v>
      </c>
      <c r="AI12" s="260" t="str">
        <f ca="1">VLOOKUP($D12,모델정보데이터!AM:BQ,19,0)</f>
        <v>현대</v>
      </c>
      <c r="AJ12" s="69">
        <f ca="1">VLOOKUP($D12,모델정보데이터!AM:BQ,21,0)</f>
        <v>0</v>
      </c>
      <c r="AK12" s="69">
        <f ca="1">VLOOKUP($D12,모델정보데이터!AM:BQ,22,0)</f>
        <v>178000</v>
      </c>
      <c r="AL12" s="69">
        <f ca="1">VLOOKUP($D12,모델정보데이터!AM:BQ,20,0)</f>
        <v>4.1000000000000002E-2</v>
      </c>
      <c r="AM12" s="69">
        <f ca="1">VLOOKUP($D12,모델정보데이터!AM:BQ,23,0)</f>
        <v>0</v>
      </c>
    </row>
    <row r="13" spans="2:39">
      <c r="B13" s="272"/>
      <c r="C13" s="1894" t="str">
        <f t="shared" ca="1" si="0"/>
        <v xml:space="preserve">쏘나타 LPG 2.0 (일반판매용) </v>
      </c>
      <c r="D13" s="269" t="str">
        <f ca="1">IF(OFFSET($D$2,11,$B$2)=0,"",OFFSET($D$2,11,$B$2))</f>
        <v xml:space="preserve">쏘나타 LPG 2.0 (일반판매용) </v>
      </c>
      <c r="E13" s="1385">
        <v>11</v>
      </c>
      <c r="F13" s="41" t="s">
        <v>1051</v>
      </c>
      <c r="G13" s="61" t="s">
        <v>1129</v>
      </c>
      <c r="H13" s="41" t="s">
        <v>1448</v>
      </c>
      <c r="I13" s="1369"/>
      <c r="J13" s="271" t="s">
        <v>1710</v>
      </c>
      <c r="K13" s="41" t="s">
        <v>1772</v>
      </c>
      <c r="L13" s="271" t="s">
        <v>918</v>
      </c>
      <c r="M13" s="482" t="s">
        <v>1960</v>
      </c>
      <c r="O13" s="259">
        <f ca="1">VLOOKUP($D13,모델정보데이터!$AM$4:$BQ$398,3,0)</f>
        <v>1999</v>
      </c>
      <c r="P13" s="582" t="str">
        <f ca="1">VLOOKUP($D13,모델정보데이터!$AM$4:$BQ$398,4,0)</f>
        <v>L</v>
      </c>
      <c r="Q13" s="582">
        <f ca="1">VLOOKUP($D13,모델정보데이터!$AM$4:$BQ$398,5,0)</f>
        <v>5</v>
      </c>
      <c r="R13" s="582" t="str">
        <f ca="1">VLOOKUP($D13,모델정보데이터!$AM$4:$BQ$398,6,0)</f>
        <v>승용</v>
      </c>
      <c r="S13" s="582" t="str">
        <f ca="1">VLOOKUP($D13,모델정보데이터!$AM$4:$BQ$398,7,0)</f>
        <v>승용</v>
      </c>
      <c r="T13" s="582" t="str">
        <f ca="1">VLOOKUP($D13,모델정보데이터!$AM$4:$BQ$398,15,0)</f>
        <v>F</v>
      </c>
      <c r="U13" s="582" t="str">
        <f ca="1">VLOOKUP($D13,모델정보데이터!$AM$4:$BQ$398,16,0)</f>
        <v>A2</v>
      </c>
      <c r="V13" s="582" t="str">
        <f ca="1">VLOOKUP($D13,모델정보데이터!$AM$4:$BQ$398,8,0)</f>
        <v>3급</v>
      </c>
      <c r="W13" s="582" t="str">
        <f ca="1">VLOOKUP($D13,모델정보데이터!$AM$4:$BQ$398,9,0)</f>
        <v>01:아산</v>
      </c>
      <c r="X13" s="582" t="str">
        <f ca="1">VLOOKUP($D13,모델정보데이터!$AM$4:$BM$278,27,0)</f>
        <v>유림로지텍</v>
      </c>
      <c r="Y13" s="582" t="str">
        <f ca="1">VLOOKUP($D13,모델정보데이터!$AM$4:$BQ$398,11,0)</f>
        <v>D</v>
      </c>
      <c r="Z13" s="582" t="str">
        <f ca="1">VLOOKUP($D13,모델정보데이터!$AM$4:$BQ$398,18,0)</f>
        <v>공제조합</v>
      </c>
      <c r="AA13" s="582" t="str">
        <f ca="1">VLOOKUP($D13,모델정보데이터!$AM$4:$BQ$398,12,0)</f>
        <v>전략</v>
      </c>
      <c r="AB13" s="583">
        <f ca="1">VLOOKUP($D13,모델정보데이터!$AM$4:$BQ$398,13,0)</f>
        <v>0.03</v>
      </c>
      <c r="AC13" s="582">
        <f ca="1">VLOOKUP($D13,모델정보데이터!$AM$4:$BQ$398,17,0)</f>
        <v>0</v>
      </c>
      <c r="AD13" s="582">
        <f ca="1">VLOOKUP($D13,모델정보데이터!$AM$4:$BQ$398,10,0)</f>
        <v>0</v>
      </c>
      <c r="AE13" s="582">
        <f ca="1">IFERROR(VLOOKUP(D13,모델정보데이터!$AM$3:$BD$278,27,0),0)</f>
        <v>0</v>
      </c>
      <c r="AF13" s="1134">
        <f ca="1">VLOOKUP($D13,모델정보데이터!$AM$4:$BQ$398,14,0)</f>
        <v>0</v>
      </c>
      <c r="AG13" s="260">
        <f ca="1">VLOOKUP($D13,모델정보데이터!AM:BQ,30,0)</f>
        <v>6.8000000000000005E-2</v>
      </c>
      <c r="AH13" s="260">
        <f ca="1">VLOOKUP($D13,모델정보데이터!AM:BQ,31,0)</f>
        <v>6.1000000000000006E-2</v>
      </c>
      <c r="AI13" s="260" t="str">
        <f ca="1">VLOOKUP($D13,모델정보데이터!AM:BQ,19,0)</f>
        <v>현대</v>
      </c>
      <c r="AJ13" s="69">
        <f ca="1">VLOOKUP($D13,모델정보데이터!AM:BQ,21,0)</f>
        <v>0</v>
      </c>
      <c r="AK13" s="69">
        <f ca="1">VLOOKUP($D13,모델정보데이터!AM:BQ,22,0)</f>
        <v>178000</v>
      </c>
      <c r="AL13" s="69">
        <f ca="1">VLOOKUP($D13,모델정보데이터!AM:BQ,20,0)</f>
        <v>4.1000000000000002E-2</v>
      </c>
      <c r="AM13" s="69">
        <f ca="1">VLOOKUP($D13,모델정보데이터!AM:BQ,23,0)</f>
        <v>0</v>
      </c>
    </row>
    <row r="14" spans="2:39">
      <c r="B14" s="272"/>
      <c r="C14" s="1894" t="str">
        <f t="shared" ca="1" si="0"/>
        <v xml:space="preserve">쏘나타 LPG 2.0 (렌터카용) </v>
      </c>
      <c r="D14" s="269" t="str">
        <f ca="1">IF(OFFSET($D$2,12,$B$2)=0,"",OFFSET($D$2,12,$B$2))</f>
        <v xml:space="preserve">쏘나타 LPG 2.0 (렌터카용) </v>
      </c>
      <c r="E14" s="1385">
        <v>12</v>
      </c>
      <c r="F14" s="1388" t="s">
        <v>1052</v>
      </c>
      <c r="G14" s="61" t="s">
        <v>965</v>
      </c>
      <c r="H14" s="41" t="s">
        <v>869</v>
      </c>
      <c r="I14" s="1369"/>
      <c r="J14" s="61" t="s">
        <v>1711</v>
      </c>
      <c r="K14" s="41" t="s">
        <v>1104</v>
      </c>
      <c r="L14" s="271" t="s">
        <v>964</v>
      </c>
      <c r="M14" s="41" t="s">
        <v>1802</v>
      </c>
      <c r="O14" s="259">
        <f ca="1">VLOOKUP($D14,모델정보데이터!$AM$4:$BQ$398,3,0)</f>
        <v>1999</v>
      </c>
      <c r="P14" s="582" t="str">
        <f ca="1">VLOOKUP($D14,모델정보데이터!$AM$4:$BQ$398,4,0)</f>
        <v>R</v>
      </c>
      <c r="Q14" s="582">
        <f ca="1">VLOOKUP($D14,모델정보데이터!$AM$4:$BQ$398,5,0)</f>
        <v>5</v>
      </c>
      <c r="R14" s="582" t="str">
        <f ca="1">VLOOKUP($D14,모델정보데이터!$AM$4:$BQ$398,6,0)</f>
        <v>승용</v>
      </c>
      <c r="S14" s="582" t="str">
        <f ca="1">VLOOKUP($D14,모델정보데이터!$AM$4:$BQ$398,7,0)</f>
        <v>승용</v>
      </c>
      <c r="T14" s="582" t="str">
        <f ca="1">VLOOKUP($D14,모델정보데이터!$AM$4:$BQ$398,15,0)</f>
        <v>F</v>
      </c>
      <c r="U14" s="582" t="str">
        <f ca="1">VLOOKUP($D14,모델정보데이터!$AM$4:$BQ$398,16,0)</f>
        <v>A2</v>
      </c>
      <c r="V14" s="582" t="str">
        <f ca="1">VLOOKUP($D14,모델정보데이터!$AM$4:$BQ$398,8,0)</f>
        <v>3급</v>
      </c>
      <c r="W14" s="582" t="str">
        <f ca="1">VLOOKUP($D14,모델정보데이터!$AM$4:$BQ$398,9,0)</f>
        <v>01:아산</v>
      </c>
      <c r="X14" s="582" t="str">
        <f ca="1">VLOOKUP($D14,모델정보데이터!$AM$4:$BM$278,27,0)</f>
        <v>유림로지텍</v>
      </c>
      <c r="Y14" s="582" t="str">
        <f ca="1">VLOOKUP($D14,모델정보데이터!$AM$4:$BQ$398,11,0)</f>
        <v>D</v>
      </c>
      <c r="Z14" s="582" t="str">
        <f ca="1">VLOOKUP($D14,모델정보데이터!$AM$4:$BQ$398,18,0)</f>
        <v>공제조합</v>
      </c>
      <c r="AA14" s="582" t="str">
        <f ca="1">VLOOKUP($D14,모델정보데이터!$AM$4:$BQ$398,12,0)</f>
        <v>전략</v>
      </c>
      <c r="AB14" s="583">
        <f ca="1">VLOOKUP($D14,모델정보데이터!$AM$4:$BQ$398,13,0)</f>
        <v>0.03</v>
      </c>
      <c r="AC14" s="582">
        <f ca="1">VLOOKUP($D14,모델정보데이터!$AM$4:$BQ$398,17,0)</f>
        <v>0</v>
      </c>
      <c r="AD14" s="582">
        <f ca="1">VLOOKUP($D14,모델정보데이터!$AM$4:$BQ$398,10,0)</f>
        <v>0</v>
      </c>
      <c r="AE14" s="582">
        <f ca="1">IFERROR(VLOOKUP(D14,모델정보데이터!$AM$3:$BD$278,27,0),0)</f>
        <v>0</v>
      </c>
      <c r="AF14" s="1134">
        <f ca="1">VLOOKUP($D14,모델정보데이터!$AM$4:$BQ$398,14,0)</f>
        <v>0</v>
      </c>
      <c r="AG14" s="260">
        <f ca="1">VLOOKUP($D14,모델정보데이터!AM:BQ,30,0)</f>
        <v>6.8000000000000005E-2</v>
      </c>
      <c r="AH14" s="260">
        <f ca="1">VLOOKUP($D14,모델정보데이터!AM:BQ,31,0)</f>
        <v>6.1000000000000006E-2</v>
      </c>
      <c r="AI14" s="260" t="str">
        <f ca="1">VLOOKUP($D14,모델정보데이터!AM:BQ,19,0)</f>
        <v>현대</v>
      </c>
      <c r="AJ14" s="69">
        <f ca="1">VLOOKUP($D14,모델정보데이터!AM:BQ,21,0)</f>
        <v>0</v>
      </c>
      <c r="AK14" s="69">
        <f ca="1">VLOOKUP($D14,모델정보데이터!AM:BQ,22,0)</f>
        <v>178000</v>
      </c>
      <c r="AL14" s="69">
        <f ca="1">VLOOKUP($D14,모델정보데이터!AM:BQ,20,0)</f>
        <v>4.1000000000000002E-2</v>
      </c>
      <c r="AM14" s="69">
        <f ca="1">VLOOKUP($D14,모델정보데이터!AM:BQ,23,0)</f>
        <v>0</v>
      </c>
    </row>
    <row r="15" spans="2:39">
      <c r="B15" s="272"/>
      <c r="C15" s="1894" t="str">
        <f t="shared" ca="1" si="0"/>
        <v>—————————◆디 올 뉴 그랜저◆————————————</v>
      </c>
      <c r="D15" s="269" t="str">
        <f ca="1">IF(OFFSET($D$2,13,$B$2)=0,"",OFFSET($D$2,13,$B$2))</f>
        <v>—————————◆디 올 뉴 그랜저◆————————————</v>
      </c>
      <c r="E15" s="1385">
        <v>13</v>
      </c>
      <c r="F15" s="41" t="s">
        <v>1537</v>
      </c>
      <c r="G15" s="61" t="s">
        <v>1360</v>
      </c>
      <c r="H15" s="41" t="s">
        <v>1077</v>
      </c>
      <c r="J15" s="61" t="s">
        <v>1709</v>
      </c>
      <c r="K15" s="41" t="s">
        <v>1458</v>
      </c>
      <c r="L15" s="271" t="s">
        <v>1110</v>
      </c>
      <c r="M15" s="41" t="s">
        <v>1956</v>
      </c>
      <c r="O15" s="259" t="e">
        <f ca="1">VLOOKUP($D15,모델정보데이터!$AM$4:$BQ$398,3,0)</f>
        <v>#N/A</v>
      </c>
      <c r="P15" s="582" t="e">
        <f ca="1">VLOOKUP($D15,모델정보데이터!$AM$4:$BQ$398,4,0)</f>
        <v>#N/A</v>
      </c>
      <c r="Q15" s="582" t="e">
        <f ca="1">VLOOKUP($D15,모델정보데이터!$AM$4:$BQ$398,5,0)</f>
        <v>#N/A</v>
      </c>
      <c r="R15" s="582" t="e">
        <f ca="1">VLOOKUP($D15,모델정보데이터!$AM$4:$BQ$398,6,0)</f>
        <v>#N/A</v>
      </c>
      <c r="S15" s="582" t="e">
        <f ca="1">VLOOKUP($D15,모델정보데이터!$AM$4:$BQ$398,7,0)</f>
        <v>#N/A</v>
      </c>
      <c r="T15" s="582" t="e">
        <f ca="1">VLOOKUP($D15,모델정보데이터!$AM$4:$BQ$398,15,0)</f>
        <v>#N/A</v>
      </c>
      <c r="U15" s="582" t="e">
        <f ca="1">VLOOKUP($D15,모델정보데이터!$AM$4:$BQ$398,16,0)</f>
        <v>#N/A</v>
      </c>
      <c r="V15" s="582" t="e">
        <f ca="1">VLOOKUP($D15,모델정보데이터!$AM$4:$BQ$398,8,0)</f>
        <v>#N/A</v>
      </c>
      <c r="W15" s="582" t="e">
        <f ca="1">VLOOKUP($D15,모델정보데이터!$AM$4:$BQ$398,9,0)</f>
        <v>#N/A</v>
      </c>
      <c r="X15" s="582" t="e">
        <f ca="1">VLOOKUP($D15,모델정보데이터!$AM$4:$BM$278,27,0)</f>
        <v>#N/A</v>
      </c>
      <c r="Y15" s="582" t="e">
        <f ca="1">VLOOKUP($D15,모델정보데이터!$AM$4:$BQ$398,11,0)</f>
        <v>#N/A</v>
      </c>
      <c r="Z15" s="582" t="e">
        <f ca="1">VLOOKUP($D15,모델정보데이터!$AM$4:$BQ$398,18,0)</f>
        <v>#N/A</v>
      </c>
      <c r="AA15" s="582" t="e">
        <f ca="1">VLOOKUP($D15,모델정보데이터!$AM$4:$BQ$398,12,0)</f>
        <v>#N/A</v>
      </c>
      <c r="AB15" s="583" t="e">
        <f ca="1">VLOOKUP($D15,모델정보데이터!$AM$4:$BQ$398,13,0)</f>
        <v>#N/A</v>
      </c>
      <c r="AC15" s="582" t="e">
        <f ca="1">VLOOKUP($D15,모델정보데이터!$AM$4:$BQ$398,17,0)</f>
        <v>#N/A</v>
      </c>
      <c r="AD15" s="582" t="e">
        <f ca="1">VLOOKUP($D15,모델정보데이터!$AM$4:$BQ$398,10,0)</f>
        <v>#N/A</v>
      </c>
      <c r="AE15" s="582">
        <f ca="1">IFERROR(VLOOKUP(D15,모델정보데이터!$AM$3:$BD$278,27,0),0)</f>
        <v>0</v>
      </c>
      <c r="AF15" s="582" t="e">
        <f ca="1">VLOOKUP($D15,모델정보데이터!$AM$4:$BQ$398,14,0)</f>
        <v>#N/A</v>
      </c>
      <c r="AG15" s="260" t="e">
        <f ca="1">VLOOKUP($D15,모델정보데이터!AM:BQ,30,0)</f>
        <v>#N/A</v>
      </c>
      <c r="AH15" s="260" t="e">
        <f ca="1">VLOOKUP($D15,모델정보데이터!AM:BQ,31,0)</f>
        <v>#N/A</v>
      </c>
      <c r="AI15" s="260" t="e">
        <f ca="1">VLOOKUP($D15,모델정보데이터!AM:BQ,19,0)</f>
        <v>#N/A</v>
      </c>
      <c r="AJ15" s="69" t="e">
        <f ca="1">VLOOKUP($D15,모델정보데이터!AM:BQ,21,0)</f>
        <v>#N/A</v>
      </c>
      <c r="AK15" s="69" t="e">
        <f ca="1">VLOOKUP($D15,모델정보데이터!AM:BQ,22,0)</f>
        <v>#N/A</v>
      </c>
      <c r="AL15" s="69" t="e">
        <f ca="1">VLOOKUP($D15,모델정보데이터!AM:BQ,20,0)</f>
        <v>#N/A</v>
      </c>
      <c r="AM15" s="69" t="e">
        <f ca="1">VLOOKUP($D15,모델정보데이터!AM:BQ,23,0)</f>
        <v>#N/A</v>
      </c>
    </row>
    <row r="16" spans="2:39">
      <c r="B16" s="273"/>
      <c r="C16" s="1894" t="str">
        <f t="shared" ca="1" si="0"/>
        <v xml:space="preserve">디 올 뉴 그랜저 가솔린 터보 1.6 하이브리드 </v>
      </c>
      <c r="D16" s="269" t="str">
        <f ca="1">IF(OFFSET($D$2,14,$B$2)=0,"",OFFSET($D$2,14,$B$2))</f>
        <v xml:space="preserve">디 올 뉴 그랜저 가솔린 터보 1.6 하이브리드 </v>
      </c>
      <c r="E16" s="1385">
        <v>14</v>
      </c>
      <c r="F16" s="1388" t="s">
        <v>1543</v>
      </c>
      <c r="G16" s="61" t="s">
        <v>1361</v>
      </c>
      <c r="H16" s="41" t="s">
        <v>914</v>
      </c>
      <c r="J16" s="271" t="s">
        <v>1094</v>
      </c>
      <c r="K16" s="41" t="s">
        <v>1459</v>
      </c>
      <c r="L16" s="271" t="s">
        <v>1200</v>
      </c>
      <c r="M16" s="41" t="s">
        <v>1801</v>
      </c>
      <c r="O16" s="259">
        <f ca="1">VLOOKUP($D16,모델정보데이터!$AM$4:$BQ$398,3,0)</f>
        <v>1598</v>
      </c>
      <c r="P16" s="582" t="str">
        <f ca="1">VLOOKUP($D16,모델정보데이터!$AM$4:$BQ$398,4,0)</f>
        <v>T</v>
      </c>
      <c r="Q16" s="582">
        <f ca="1">VLOOKUP($D16,모델정보데이터!$AM$4:$BQ$398,5,0)</f>
        <v>5</v>
      </c>
      <c r="R16" s="582" t="str">
        <f ca="1">VLOOKUP($D16,모델정보데이터!$AM$4:$BQ$398,6,0)</f>
        <v>승용</v>
      </c>
      <c r="S16" s="582" t="str">
        <f ca="1">VLOOKUP($D16,모델정보데이터!$AM$4:$BQ$398,7,0)</f>
        <v>승용</v>
      </c>
      <c r="T16" s="582" t="str">
        <f ca="1">VLOOKUP($D16,모델정보데이터!$AM$4:$BQ$398,15,0)</f>
        <v>A9</v>
      </c>
      <c r="U16" s="582" t="str">
        <f ca="1">VLOOKUP($D16,모델정보데이터!$AM$4:$BQ$398,16,0)</f>
        <v>A4</v>
      </c>
      <c r="V16" s="582" t="str">
        <f ca="1">VLOOKUP($D16,모델정보데이터!$AM$4:$BQ$398,8,0)</f>
        <v>2급</v>
      </c>
      <c r="W16" s="582" t="str">
        <f ca="1">VLOOKUP($D16,모델정보데이터!$AM$4:$BQ$398,9,0)</f>
        <v>01:아산</v>
      </c>
      <c r="X16" s="582" t="str">
        <f ca="1">VLOOKUP($D16,모델정보데이터!$AM$4:$BM$278,27,0)</f>
        <v>유림로지텍</v>
      </c>
      <c r="Y16" s="582" t="str">
        <f ca="1">VLOOKUP($D16,모델정보데이터!$AM$4:$BQ$398,11,0)</f>
        <v>D</v>
      </c>
      <c r="Z16" s="582" t="str">
        <f ca="1">VLOOKUP($D16,모델정보데이터!$AM$4:$BQ$398,18,0)</f>
        <v>공제조합</v>
      </c>
      <c r="AA16" s="582" t="str">
        <f ca="1">VLOOKUP($D16,모델정보데이터!$AM$4:$BQ$398,12,0)</f>
        <v>전략P</v>
      </c>
      <c r="AB16" s="583">
        <f ca="1">VLOOKUP($D16,모델정보데이터!$AM$4:$BQ$398,13,0)</f>
        <v>2.5000000000000001E-2</v>
      </c>
      <c r="AC16" s="582">
        <f ca="1">VLOOKUP($D16,모델정보데이터!$AM$4:$BQ$398,17,0)</f>
        <v>0</v>
      </c>
      <c r="AD16" s="582">
        <f ca="1">VLOOKUP($D16,모델정보데이터!$AM$4:$BQ$398,10,0)</f>
        <v>0</v>
      </c>
      <c r="AE16" s="582">
        <f ca="1">IFERROR(VLOOKUP(D16,모델정보데이터!$AM$3:$BD$278,27,0),0)</f>
        <v>0</v>
      </c>
      <c r="AF16" s="582">
        <f ca="1">VLOOKUP($D16,모델정보데이터!$AM$4:$BQ$398,14,0)</f>
        <v>0</v>
      </c>
      <c r="AG16" s="260">
        <f ca="1">VLOOKUP($D16,모델정보데이터!AM:BQ,30,0)</f>
        <v>6.2E-2</v>
      </c>
      <c r="AH16" s="260">
        <f ca="1">VLOOKUP($D16,모델정보데이터!AM:BQ,31,0)</f>
        <v>5.5E-2</v>
      </c>
      <c r="AI16" s="260" t="str">
        <f ca="1">VLOOKUP($D16,모델정보데이터!AM:BQ,19,0)</f>
        <v>현대</v>
      </c>
      <c r="AJ16" s="69">
        <f ca="1">VLOOKUP($D16,모델정보데이터!AM:BQ,21,0)</f>
        <v>0</v>
      </c>
      <c r="AK16" s="69">
        <f ca="1">VLOOKUP($D16,모델정보데이터!AM:BQ,22,0)</f>
        <v>178000</v>
      </c>
      <c r="AL16" s="69">
        <f ca="1">VLOOKUP($D16,모델정보데이터!AM:BQ,20,0)</f>
        <v>4.1000000000000002E-2</v>
      </c>
      <c r="AM16" s="69">
        <f ca="1">VLOOKUP($D16,모델정보데이터!AM:BQ,23,0)</f>
        <v>0</v>
      </c>
    </row>
    <row r="17" spans="1:39" s="471" customFormat="1">
      <c r="A17" s="69"/>
      <c r="B17" s="273"/>
      <c r="C17" s="1894" t="str">
        <f t="shared" ca="1" si="0"/>
        <v xml:space="preserve">디 올 뉴 그랜저 가솔린 2.5 </v>
      </c>
      <c r="D17" s="473" t="str">
        <f ca="1">IF(OFFSET($D$2,15,$B$2)=0,"",OFFSET($D$2,15,$B$2))</f>
        <v xml:space="preserve">디 올 뉴 그랜저 가솔린 2.5 </v>
      </c>
      <c r="E17" s="1385">
        <v>15</v>
      </c>
      <c r="F17" s="1388" t="s">
        <v>1544</v>
      </c>
      <c r="G17" s="61" t="s">
        <v>1362</v>
      </c>
      <c r="H17" s="41" t="s">
        <v>915</v>
      </c>
      <c r="J17" s="271" t="s">
        <v>1095</v>
      </c>
      <c r="K17" s="41" t="s">
        <v>1460</v>
      </c>
      <c r="L17" s="271" t="s">
        <v>1773</v>
      </c>
      <c r="M17" s="482" t="s">
        <v>1957</v>
      </c>
      <c r="N17" s="259"/>
      <c r="O17" s="259">
        <f ca="1">VLOOKUP($D17,모델정보데이터!$AM$4:$BQ$398,3,0)</f>
        <v>2497</v>
      </c>
      <c r="P17" s="582" t="str">
        <f ca="1">VLOOKUP($D17,모델정보데이터!$AM$4:$BQ$398,4,0)</f>
        <v>M</v>
      </c>
      <c r="Q17" s="582">
        <f ca="1">VLOOKUP($D17,모델정보데이터!$AM$4:$BQ$398,5,0)</f>
        <v>5</v>
      </c>
      <c r="R17" s="582" t="str">
        <f ca="1">VLOOKUP($D17,모델정보데이터!$AM$4:$BQ$398,6,0)</f>
        <v>승용</v>
      </c>
      <c r="S17" s="582" t="str">
        <f ca="1">VLOOKUP($D17,모델정보데이터!$AM$4:$BQ$398,7,0)</f>
        <v>승용</v>
      </c>
      <c r="T17" s="582" t="str">
        <f ca="1">VLOOKUP($D17,모델정보데이터!$AM$4:$BQ$398,15,0)</f>
        <v>A8</v>
      </c>
      <c r="U17" s="582" t="str">
        <f ca="1">VLOOKUP($D17,모델정보데이터!$AM$4:$BQ$398,16,0)</f>
        <v>A4</v>
      </c>
      <c r="V17" s="582" t="str">
        <f ca="1">VLOOKUP($D17,모델정보데이터!$AM$4:$BQ$398,8,0)</f>
        <v>4급</v>
      </c>
      <c r="W17" s="582" t="str">
        <f ca="1">VLOOKUP($D17,모델정보데이터!$AM$4:$BQ$398,9,0)</f>
        <v>01:아산</v>
      </c>
      <c r="X17" s="582" t="str">
        <f ca="1">VLOOKUP($D17,모델정보데이터!$AM$4:$BM$278,27,0)</f>
        <v>유림로지텍</v>
      </c>
      <c r="Y17" s="582" t="str">
        <f ca="1">VLOOKUP($D17,모델정보데이터!$AM$4:$BQ$398,11,0)</f>
        <v>D</v>
      </c>
      <c r="Z17" s="582" t="str">
        <f ca="1">VLOOKUP($D17,모델정보데이터!$AM$4:$BQ$398,18,0)</f>
        <v>공제조합</v>
      </c>
      <c r="AA17" s="582" t="str">
        <f ca="1">VLOOKUP($D17,모델정보데이터!$AM$4:$BQ$398,12,0)</f>
        <v>전략P</v>
      </c>
      <c r="AB17" s="583">
        <f ca="1">VLOOKUP($D17,모델정보데이터!$AM$4:$BQ$398,13,0)</f>
        <v>2.5000000000000001E-2</v>
      </c>
      <c r="AC17" s="582">
        <f ca="1">VLOOKUP($D17,모델정보데이터!$AM$4:$BQ$398,17,0)</f>
        <v>0</v>
      </c>
      <c r="AD17" s="582">
        <f ca="1">VLOOKUP($D17,모델정보데이터!$AM$4:$BQ$398,10,0)</f>
        <v>0</v>
      </c>
      <c r="AE17" s="582">
        <f ca="1">IFERROR(VLOOKUP(D17,모델정보데이터!$AM$3:$BD$278,27,0),0)</f>
        <v>0</v>
      </c>
      <c r="AF17" s="582">
        <f ca="1">VLOOKUP($D17,모델정보데이터!$AM$4:$BQ$398,14,0)</f>
        <v>0</v>
      </c>
      <c r="AG17" s="260">
        <f ca="1">VLOOKUP($D17,모델정보데이터!AM:BQ,30,0)</f>
        <v>6.2E-2</v>
      </c>
      <c r="AH17" s="260">
        <f ca="1">VLOOKUP($D17,모델정보데이터!AM:BQ,31,0)</f>
        <v>5.5E-2</v>
      </c>
      <c r="AI17" s="260" t="str">
        <f ca="1">VLOOKUP($D17,모델정보데이터!AM:BQ,19,0)</f>
        <v>현대</v>
      </c>
      <c r="AJ17" s="69">
        <f ca="1">VLOOKUP($D17,모델정보데이터!AM:BQ,21,0)</f>
        <v>0</v>
      </c>
      <c r="AK17" s="69">
        <f ca="1">VLOOKUP($D17,모델정보데이터!AM:BQ,22,0)</f>
        <v>178000</v>
      </c>
      <c r="AL17" s="69">
        <f ca="1">VLOOKUP($D17,모델정보데이터!AM:BQ,20,0)</f>
        <v>4.1000000000000002E-2</v>
      </c>
      <c r="AM17" s="69">
        <f ca="1">VLOOKUP($D17,모델정보데이터!AM:BQ,23,0)</f>
        <v>0</v>
      </c>
    </row>
    <row r="18" spans="1:39" s="471" customFormat="1">
      <c r="A18" s="69"/>
      <c r="B18" s="273"/>
      <c r="C18" s="1894" t="str">
        <f t="shared" ca="1" si="0"/>
        <v xml:space="preserve">디 올 뉴 그랜저 가솔린 3.5 </v>
      </c>
      <c r="D18" s="473" t="str">
        <f ca="1">IF(OFFSET($D$2,16,$B$2)=0,"",OFFSET($D$2,16,$B$2))</f>
        <v xml:space="preserve">디 올 뉴 그랜저 가솔린 3.5 </v>
      </c>
      <c r="E18" s="1385">
        <v>16</v>
      </c>
      <c r="F18" s="1388" t="s">
        <v>1545</v>
      </c>
      <c r="G18" s="61" t="s">
        <v>1363</v>
      </c>
      <c r="H18" s="41" t="s">
        <v>1449</v>
      </c>
      <c r="I18" s="69"/>
      <c r="J18" s="41" t="s">
        <v>1096</v>
      </c>
      <c r="K18" s="41" t="s">
        <v>1461</v>
      </c>
      <c r="L18" s="271" t="s">
        <v>1322</v>
      </c>
      <c r="M18" s="41" t="s">
        <v>1800</v>
      </c>
      <c r="N18" s="259"/>
      <c r="O18" s="259">
        <f ca="1">VLOOKUP($D18,모델정보데이터!$AM$4:$BQ$398,3,0)</f>
        <v>3470</v>
      </c>
      <c r="P18" s="582" t="str">
        <f ca="1">VLOOKUP($D18,모델정보데이터!$AM$4:$BQ$398,4,0)</f>
        <v>M</v>
      </c>
      <c r="Q18" s="582">
        <f ca="1">VLOOKUP($D18,모델정보데이터!$AM$4:$BQ$398,5,0)</f>
        <v>5</v>
      </c>
      <c r="R18" s="582" t="str">
        <f ca="1">VLOOKUP($D18,모델정보데이터!$AM$4:$BQ$398,6,0)</f>
        <v>승용</v>
      </c>
      <c r="S18" s="582" t="str">
        <f ca="1">VLOOKUP($D18,모델정보데이터!$AM$4:$BQ$398,7,0)</f>
        <v>승용</v>
      </c>
      <c r="T18" s="582" t="str">
        <f ca="1">VLOOKUP($D18,모델정보데이터!$AM$4:$BQ$398,15,0)</f>
        <v>A3</v>
      </c>
      <c r="U18" s="582" t="str">
        <f ca="1">VLOOKUP($D18,모델정보데이터!$AM$4:$BQ$398,16,0)</f>
        <v>A</v>
      </c>
      <c r="V18" s="582" t="str">
        <f ca="1">VLOOKUP($D18,모델정보데이터!$AM$4:$BQ$398,8,0)</f>
        <v>5급</v>
      </c>
      <c r="W18" s="582" t="str">
        <f ca="1">VLOOKUP($D18,모델정보데이터!$AM$4:$BQ$398,9,0)</f>
        <v>01:아산</v>
      </c>
      <c r="X18" s="582" t="str">
        <f ca="1">VLOOKUP($D18,모델정보데이터!$AM$4:$BM$278,27,0)</f>
        <v>유림로지텍</v>
      </c>
      <c r="Y18" s="582" t="str">
        <f ca="1">VLOOKUP($D18,모델정보데이터!$AM$4:$BQ$398,11,0)</f>
        <v>D</v>
      </c>
      <c r="Z18" s="582" t="str">
        <f ca="1">VLOOKUP($D18,모델정보데이터!$AM$4:$BQ$398,18,0)</f>
        <v>공제조합</v>
      </c>
      <c r="AA18" s="582" t="str">
        <f ca="1">VLOOKUP($D18,모델정보데이터!$AM$4:$BQ$398,12,0)</f>
        <v>전략P</v>
      </c>
      <c r="AB18" s="583">
        <f ca="1">VLOOKUP($D18,모델정보데이터!$AM$4:$BQ$398,13,0)</f>
        <v>2.5000000000000001E-2</v>
      </c>
      <c r="AC18" s="582">
        <f ca="1">VLOOKUP($D18,모델정보데이터!$AM$4:$BQ$398,17,0)</f>
        <v>0</v>
      </c>
      <c r="AD18" s="582">
        <f ca="1">VLOOKUP($D18,모델정보데이터!$AM$4:$BQ$398,10,0)</f>
        <v>0</v>
      </c>
      <c r="AE18" s="582">
        <f ca="1">IFERROR(VLOOKUP(D18,모델정보데이터!$AM$3:$BD$278,27,0),0)</f>
        <v>0</v>
      </c>
      <c r="AF18" s="582">
        <f ca="1">VLOOKUP($D18,모델정보데이터!$AM$4:$BQ$398,14,0)</f>
        <v>0</v>
      </c>
      <c r="AG18" s="260">
        <f ca="1">VLOOKUP($D18,모델정보데이터!AM:BQ,30,0)</f>
        <v>6.2E-2</v>
      </c>
      <c r="AH18" s="260">
        <f ca="1">VLOOKUP($D18,모델정보데이터!AM:BQ,31,0)</f>
        <v>5.5E-2</v>
      </c>
      <c r="AI18" s="260" t="str">
        <f ca="1">VLOOKUP($D18,모델정보데이터!AM:BQ,19,0)</f>
        <v>현대</v>
      </c>
      <c r="AJ18" s="69">
        <f ca="1">VLOOKUP($D18,모델정보데이터!AM:BQ,21,0)</f>
        <v>0</v>
      </c>
      <c r="AK18" s="69">
        <f ca="1">VLOOKUP($D18,모델정보데이터!AM:BQ,22,0)</f>
        <v>178000</v>
      </c>
      <c r="AL18" s="69">
        <f ca="1">VLOOKUP($D18,모델정보데이터!AM:BQ,20,0)</f>
        <v>4.1000000000000002E-2</v>
      </c>
      <c r="AM18" s="69">
        <f ca="1">VLOOKUP($D18,모델정보데이터!AM:BQ,23,0)</f>
        <v>0</v>
      </c>
    </row>
    <row r="19" spans="1:39" ht="13.5" thickBot="1">
      <c r="B19" s="273"/>
      <c r="C19" s="1894" t="str">
        <f t="shared" ca="1" si="0"/>
        <v xml:space="preserve">디 올 뉴 그랜저 LPG 3.5 (일반판매용) </v>
      </c>
      <c r="D19" s="269" t="str">
        <f ca="1">IF(OFFSET($D$2,17,$B$2)=0,"",OFFSET($D$2,17,$B$2))</f>
        <v xml:space="preserve">디 올 뉴 그랜저 LPG 3.5 (일반판매용) </v>
      </c>
      <c r="E19" s="1385">
        <v>17</v>
      </c>
      <c r="F19" s="1388" t="s">
        <v>1546</v>
      </c>
      <c r="G19" s="61" t="s">
        <v>1364</v>
      </c>
      <c r="H19" s="41" t="s">
        <v>1450</v>
      </c>
      <c r="I19" s="69"/>
      <c r="J19" s="274" t="s">
        <v>1097</v>
      </c>
      <c r="K19" s="41" t="s">
        <v>1103</v>
      </c>
      <c r="L19" s="271" t="s">
        <v>1486</v>
      </c>
      <c r="M19" s="482" t="s">
        <v>1958</v>
      </c>
      <c r="O19" s="259">
        <f ca="1">VLOOKUP($D19,모델정보데이터!$AM$4:$BQ$398,3,0)</f>
        <v>3470</v>
      </c>
      <c r="P19" s="582" t="str">
        <f ca="1">VLOOKUP($D19,모델정보데이터!$AM$4:$BQ$398,4,0)</f>
        <v>L</v>
      </c>
      <c r="Q19" s="582">
        <f ca="1">VLOOKUP($D19,모델정보데이터!$AM$4:$BQ$398,5,0)</f>
        <v>5</v>
      </c>
      <c r="R19" s="582" t="str">
        <f ca="1">VLOOKUP($D19,모델정보데이터!$AM$4:$BQ$398,6,0)</f>
        <v>승용</v>
      </c>
      <c r="S19" s="582" t="str">
        <f ca="1">VLOOKUP($D19,모델정보데이터!$AM$4:$BQ$398,7,0)</f>
        <v>승용</v>
      </c>
      <c r="T19" s="582" t="str">
        <f ca="1">VLOOKUP($D19,모델정보데이터!$AM$4:$BQ$398,15,0)</f>
        <v>I</v>
      </c>
      <c r="U19" s="582" t="str">
        <f ca="1">VLOOKUP($D19,모델정보데이터!$AM$4:$BQ$398,16,0)</f>
        <v>A2</v>
      </c>
      <c r="V19" s="582" t="str">
        <f ca="1">VLOOKUP($D19,모델정보데이터!$AM$4:$BQ$398,8,0)</f>
        <v>5급</v>
      </c>
      <c r="W19" s="582" t="str">
        <f ca="1">VLOOKUP($D19,모델정보데이터!$AM$4:$BQ$398,9,0)</f>
        <v>01:아산</v>
      </c>
      <c r="X19" s="582" t="str">
        <f ca="1">VLOOKUP($D19,모델정보데이터!$AM$4:$BM$278,27,0)</f>
        <v>유림로지텍</v>
      </c>
      <c r="Y19" s="582" t="str">
        <f ca="1">VLOOKUP($D19,모델정보데이터!$AM$4:$BQ$398,11,0)</f>
        <v>D</v>
      </c>
      <c r="Z19" s="582" t="str">
        <f ca="1">VLOOKUP($D19,모델정보데이터!$AM$4:$BQ$398,18,0)</f>
        <v>공제조합</v>
      </c>
      <c r="AA19" s="582" t="str">
        <f ca="1">VLOOKUP($D19,모델정보데이터!$AM$4:$BQ$398,12,0)</f>
        <v>전략P</v>
      </c>
      <c r="AB19" s="583">
        <f ca="1">VLOOKUP($D19,모델정보데이터!$AM$4:$BQ$398,13,0)</f>
        <v>2.5000000000000001E-2</v>
      </c>
      <c r="AC19" s="582">
        <f ca="1">VLOOKUP($D19,모델정보데이터!$AM$4:$BQ$398,17,0)</f>
        <v>0</v>
      </c>
      <c r="AD19" s="582">
        <f ca="1">VLOOKUP($D19,모델정보데이터!$AM$4:$BQ$398,10,0)</f>
        <v>0</v>
      </c>
      <c r="AE19" s="582">
        <f ca="1">IFERROR(VLOOKUP(D19,모델정보데이터!$AM$3:$BD$278,27,0),0)</f>
        <v>0</v>
      </c>
      <c r="AF19" s="1134">
        <f ca="1">VLOOKUP($D19,모델정보데이터!$AM$4:$BQ$398,14,0)</f>
        <v>0</v>
      </c>
      <c r="AG19" s="260">
        <f ca="1">VLOOKUP($D19,모델정보데이터!AM:BQ,30,0)</f>
        <v>6.2E-2</v>
      </c>
      <c r="AH19" s="260">
        <f ca="1">VLOOKUP($D19,모델정보데이터!AM:BQ,31,0)</f>
        <v>5.5E-2</v>
      </c>
      <c r="AI19" s="260" t="str">
        <f ca="1">VLOOKUP($D19,모델정보데이터!AM:BQ,19,0)</f>
        <v>현대</v>
      </c>
      <c r="AJ19" s="69">
        <f ca="1">VLOOKUP($D19,모델정보데이터!AM:BQ,21,0)</f>
        <v>0</v>
      </c>
      <c r="AK19" s="69">
        <f ca="1">VLOOKUP($D19,모델정보데이터!AM:BQ,22,0)</f>
        <v>178000</v>
      </c>
      <c r="AL19" s="69">
        <f ca="1">VLOOKUP($D19,모델정보데이터!AM:BQ,20,0)</f>
        <v>4.1000000000000002E-2</v>
      </c>
      <c r="AM19" s="69">
        <f ca="1">VLOOKUP($D19,모델정보데이터!AM:BQ,23,0)</f>
        <v>0</v>
      </c>
    </row>
    <row r="20" spans="1:39" ht="13.5" thickBot="1">
      <c r="B20" s="273"/>
      <c r="C20" s="1894" t="str">
        <f t="shared" ca="1" si="0"/>
        <v>——————————◆투싼◆———————————————</v>
      </c>
      <c r="D20" s="269" t="str">
        <f ca="1">IF(OFFSET($D$2,18,$B$2)=0,"",OFFSET($D$2,18,$B$2))</f>
        <v>——————————◆투싼◆———————————————</v>
      </c>
      <c r="E20" s="1385">
        <v>18</v>
      </c>
      <c r="F20" s="41" t="s">
        <v>970</v>
      </c>
      <c r="G20" s="61" t="s">
        <v>1365</v>
      </c>
      <c r="H20" s="41" t="s">
        <v>913</v>
      </c>
      <c r="I20" s="69"/>
      <c r="J20" s="69"/>
      <c r="K20" s="274" t="s">
        <v>1105</v>
      </c>
      <c r="L20" s="271" t="s">
        <v>1487</v>
      </c>
      <c r="M20" s="41" t="s">
        <v>2000</v>
      </c>
      <c r="O20" s="259" t="e">
        <f ca="1">VLOOKUP($D20,모델정보데이터!$AM$4:$BQ$398,3,0)</f>
        <v>#N/A</v>
      </c>
      <c r="P20" s="582" t="e">
        <f ca="1">VLOOKUP($D20,모델정보데이터!$AM$4:$BQ$398,4,0)</f>
        <v>#N/A</v>
      </c>
      <c r="Q20" s="582" t="e">
        <f ca="1">VLOOKUP($D20,모델정보데이터!$AM$4:$BQ$398,5,0)</f>
        <v>#N/A</v>
      </c>
      <c r="R20" s="582" t="e">
        <f ca="1">VLOOKUP($D20,모델정보데이터!$AM$4:$BQ$398,6,0)</f>
        <v>#N/A</v>
      </c>
      <c r="S20" s="582" t="e">
        <f ca="1">VLOOKUP($D20,모델정보데이터!$AM$4:$BQ$398,7,0)</f>
        <v>#N/A</v>
      </c>
      <c r="T20" s="582" t="e">
        <f ca="1">VLOOKUP($D20,모델정보데이터!$AM$4:$BQ$398,15,0)</f>
        <v>#N/A</v>
      </c>
      <c r="U20" s="582" t="e">
        <f ca="1">VLOOKUP($D20,모델정보데이터!$AM$4:$BQ$398,16,0)</f>
        <v>#N/A</v>
      </c>
      <c r="V20" s="582" t="e">
        <f ca="1">VLOOKUP($D20,모델정보데이터!$AM$4:$BQ$398,8,0)</f>
        <v>#N/A</v>
      </c>
      <c r="W20" s="582" t="e">
        <f ca="1">VLOOKUP($D20,모델정보데이터!$AM$4:$BQ$398,9,0)</f>
        <v>#N/A</v>
      </c>
      <c r="X20" s="582" t="e">
        <f ca="1">VLOOKUP($D20,모델정보데이터!$AM$4:$BM$278,27,0)</f>
        <v>#N/A</v>
      </c>
      <c r="Y20" s="582" t="e">
        <f ca="1">VLOOKUP($D20,모델정보데이터!$AM$4:$BQ$398,11,0)</f>
        <v>#N/A</v>
      </c>
      <c r="Z20" s="582" t="e">
        <f ca="1">VLOOKUP($D20,모델정보데이터!$AM$4:$BQ$398,18,0)</f>
        <v>#N/A</v>
      </c>
      <c r="AA20" s="582" t="e">
        <f ca="1">VLOOKUP($D20,모델정보데이터!$AM$4:$BQ$398,12,0)</f>
        <v>#N/A</v>
      </c>
      <c r="AB20" s="583" t="e">
        <f ca="1">VLOOKUP($D20,모델정보데이터!$AM$4:$BQ$398,13,0)</f>
        <v>#N/A</v>
      </c>
      <c r="AC20" s="582" t="e">
        <f ca="1">VLOOKUP($D20,모델정보데이터!$AM$4:$BQ$398,17,0)</f>
        <v>#N/A</v>
      </c>
      <c r="AD20" s="582" t="e">
        <f ca="1">VLOOKUP($D20,모델정보데이터!$AM$4:$BQ$398,10,0)</f>
        <v>#N/A</v>
      </c>
      <c r="AE20" s="582">
        <f ca="1">IFERROR(VLOOKUP(D20,모델정보데이터!$AM$3:$BD$278,27,0),0)</f>
        <v>0</v>
      </c>
      <c r="AF20" s="1134" t="e">
        <f ca="1">VLOOKUP($D20,모델정보데이터!$AM$4:$BQ$398,14,0)</f>
        <v>#N/A</v>
      </c>
      <c r="AG20" s="260" t="e">
        <f ca="1">VLOOKUP($D20,모델정보데이터!AM:BQ,30,0)</f>
        <v>#N/A</v>
      </c>
      <c r="AH20" s="260" t="e">
        <f ca="1">VLOOKUP($D20,모델정보데이터!AM:BQ,31,0)</f>
        <v>#N/A</v>
      </c>
      <c r="AI20" s="260" t="e">
        <f ca="1">VLOOKUP($D20,모델정보데이터!AM:BQ,19,0)</f>
        <v>#N/A</v>
      </c>
      <c r="AJ20" s="69" t="e">
        <f ca="1">VLOOKUP($D20,모델정보데이터!AM:BQ,21,0)</f>
        <v>#N/A</v>
      </c>
      <c r="AK20" s="69" t="e">
        <f ca="1">VLOOKUP($D20,모델정보데이터!AM:BQ,22,0)</f>
        <v>#N/A</v>
      </c>
      <c r="AL20" s="69" t="e">
        <f ca="1">VLOOKUP($D20,모델정보데이터!AM:BQ,20,0)</f>
        <v>#N/A</v>
      </c>
      <c r="AM20" s="69" t="e">
        <f ca="1">VLOOKUP($D20,모델정보데이터!AM:BQ,23,0)</f>
        <v>#N/A</v>
      </c>
    </row>
    <row r="21" spans="1:39">
      <c r="B21" s="273"/>
      <c r="C21" s="1894" t="str">
        <f t="shared" ca="1" si="0"/>
        <v xml:space="preserve">투싼 가솔린 터보 1.6 </v>
      </c>
      <c r="D21" s="269" t="str">
        <f ca="1">IF(OFFSET($D$2,19,$B$2)=0,"",OFFSET($D$2,19,$B$2))</f>
        <v xml:space="preserve">투싼 가솔린 터보 1.6 </v>
      </c>
      <c r="E21" s="1385">
        <v>19</v>
      </c>
      <c r="F21" s="1388" t="s">
        <v>1053</v>
      </c>
      <c r="G21" s="61" t="s">
        <v>1366</v>
      </c>
      <c r="H21" s="41" t="s">
        <v>1078</v>
      </c>
      <c r="I21" s="69"/>
      <c r="J21" s="69"/>
      <c r="K21" s="69"/>
      <c r="L21" s="271" t="s">
        <v>1488</v>
      </c>
      <c r="M21" s="41" t="s">
        <v>1799</v>
      </c>
      <c r="O21" s="259">
        <f ca="1">VLOOKUP($D21,모델정보데이터!$AM$4:$BQ$398,3,0)</f>
        <v>1598</v>
      </c>
      <c r="P21" s="582" t="str">
        <f ca="1">VLOOKUP($D21,모델정보데이터!$AM$4:$BQ$398,4,0)</f>
        <v>M</v>
      </c>
      <c r="Q21" s="582">
        <f ca="1">VLOOKUP($D21,모델정보데이터!$AM$4:$BQ$398,5,0)</f>
        <v>5</v>
      </c>
      <c r="R21" s="582" t="str">
        <f ca="1">VLOOKUP($D21,모델정보데이터!$AM$4:$BQ$398,6,0)</f>
        <v>RV</v>
      </c>
      <c r="S21" s="582" t="str">
        <f ca="1">VLOOKUP($D21,모델정보데이터!$AM$4:$BQ$398,7,0)</f>
        <v>승용</v>
      </c>
      <c r="T21" s="582" t="str">
        <f ca="1">VLOOKUP($D21,모델정보데이터!$AM$4:$BQ$398,15,0)</f>
        <v>A9</v>
      </c>
      <c r="U21" s="582" t="str">
        <f ca="1">VLOOKUP($D21,모델정보데이터!$AM$4:$BQ$398,16,0)</f>
        <v>A7</v>
      </c>
      <c r="V21" s="582" t="str">
        <f ca="1">VLOOKUP($D21,모델정보데이터!$AM$4:$BQ$398,8,0)</f>
        <v>7급</v>
      </c>
      <c r="W21" s="582" t="str">
        <f ca="1">VLOOKUP($D21,모델정보데이터!$AM$4:$BQ$398,9,0)</f>
        <v>02:울산</v>
      </c>
      <c r="X21" s="582" t="str">
        <f ca="1">VLOOKUP($D21,모델정보데이터!$AM$4:$BM$278,27,0)</f>
        <v>유림로지텍</v>
      </c>
      <c r="Y21" s="582" t="str">
        <f ca="1">VLOOKUP($D21,모델정보데이터!$AM$4:$BQ$398,11,0)</f>
        <v>D</v>
      </c>
      <c r="Z21" s="582" t="str">
        <f ca="1">VLOOKUP($D21,모델정보데이터!$AM$4:$BQ$398,18,0)</f>
        <v>공제조합</v>
      </c>
      <c r="AA21" s="582" t="str">
        <f ca="1">VLOOKUP($D21,모델정보데이터!$AM$4:$BQ$398,12,0)</f>
        <v>전략</v>
      </c>
      <c r="AB21" s="583">
        <f ca="1">VLOOKUP($D21,모델정보데이터!$AM$4:$BQ$398,13,0)</f>
        <v>0.03</v>
      </c>
      <c r="AC21" s="582">
        <f ca="1">VLOOKUP($D21,모델정보데이터!$AM$4:$BQ$398,17,0)</f>
        <v>0</v>
      </c>
      <c r="AD21" s="582">
        <f ca="1">VLOOKUP($D21,모델정보데이터!$AM$4:$BQ$398,10,0)</f>
        <v>0</v>
      </c>
      <c r="AE21" s="582">
        <f ca="1">IFERROR(VLOOKUP(D21,모델정보데이터!$AM$3:$BD$278,27,0),0)</f>
        <v>0</v>
      </c>
      <c r="AF21" s="1134">
        <f ca="1">VLOOKUP($D21,모델정보데이터!$AM$4:$BQ$398,14,0)</f>
        <v>0</v>
      </c>
      <c r="AG21" s="260">
        <f ca="1">VLOOKUP($D21,모델정보데이터!AM:BQ,30,0)</f>
        <v>6.8000000000000005E-2</v>
      </c>
      <c r="AH21" s="260">
        <f ca="1">VLOOKUP($D21,모델정보데이터!AM:BQ,31,0)</f>
        <v>6.1000000000000006E-2</v>
      </c>
      <c r="AI21" s="260" t="str">
        <f ca="1">VLOOKUP($D21,모델정보데이터!AM:BQ,19,0)</f>
        <v>현대</v>
      </c>
      <c r="AJ21" s="69">
        <f ca="1">VLOOKUP($D21,모델정보데이터!AM:BQ,21,0)</f>
        <v>78000</v>
      </c>
      <c r="AK21" s="69">
        <f ca="1">VLOOKUP($D21,모델정보데이터!AM:BQ,22,0)</f>
        <v>302000</v>
      </c>
      <c r="AL21" s="69">
        <f ca="1">VLOOKUP($D21,모델정보데이터!AM:BQ,20,0)</f>
        <v>4.1000000000000002E-2</v>
      </c>
      <c r="AM21" s="69">
        <f ca="1">VLOOKUP($D21,모델정보데이터!AM:BQ,23,0)</f>
        <v>0</v>
      </c>
    </row>
    <row r="22" spans="1:39">
      <c r="B22" s="273"/>
      <c r="C22" s="1894" t="str">
        <f t="shared" ca="1" si="0"/>
        <v xml:space="preserve">투싼 디젤 2.0 </v>
      </c>
      <c r="D22" s="269" t="str">
        <f ca="1">IF(OFFSET($D$2,20,$B$2)=0,"",OFFSET($D$2,20,$B$2))</f>
        <v xml:space="preserve">투싼 디젤 2.0 </v>
      </c>
      <c r="E22" s="1385">
        <v>20</v>
      </c>
      <c r="F22" s="41" t="s">
        <v>1054</v>
      </c>
      <c r="G22" s="61" t="s">
        <v>1367</v>
      </c>
      <c r="H22" s="41" t="s">
        <v>1079</v>
      </c>
      <c r="I22" s="69"/>
      <c r="J22" s="69"/>
      <c r="K22" s="69"/>
      <c r="L22" s="271" t="s">
        <v>1489</v>
      </c>
      <c r="M22" s="482" t="s">
        <v>1959</v>
      </c>
      <c r="O22" s="259">
        <f ca="1">VLOOKUP($D22,모델정보데이터!$AM$4:$BQ$398,3,0)</f>
        <v>1998</v>
      </c>
      <c r="P22" s="582" t="str">
        <f ca="1">VLOOKUP($D22,모델정보데이터!$AM$4:$BQ$398,4,0)</f>
        <v>D</v>
      </c>
      <c r="Q22" s="582">
        <f ca="1">VLOOKUP($D22,모델정보데이터!$AM$4:$BQ$398,5,0)</f>
        <v>5</v>
      </c>
      <c r="R22" s="582" t="str">
        <f ca="1">VLOOKUP($D22,모델정보데이터!$AM$4:$BQ$398,6,0)</f>
        <v>RV</v>
      </c>
      <c r="S22" s="582" t="str">
        <f ca="1">VLOOKUP($D22,모델정보데이터!$AM$4:$BQ$398,7,0)</f>
        <v>승용</v>
      </c>
      <c r="T22" s="582" t="str">
        <f ca="1">VLOOKUP($D22,모델정보데이터!$AM$4:$BQ$398,15,0)</f>
        <v>A4</v>
      </c>
      <c r="U22" s="582" t="str">
        <f ca="1">VLOOKUP($D22,모델정보데이터!$AM$4:$BQ$398,16,0)</f>
        <v>A2</v>
      </c>
      <c r="V22" s="582" t="str">
        <f ca="1">VLOOKUP($D22,모델정보데이터!$AM$4:$BQ$398,8,0)</f>
        <v>7급</v>
      </c>
      <c r="W22" s="582" t="str">
        <f ca="1">VLOOKUP($D22,모델정보데이터!$AM$4:$BQ$398,9,0)</f>
        <v>02:울산</v>
      </c>
      <c r="X22" s="582" t="str">
        <f ca="1">VLOOKUP($D22,모델정보데이터!$AM$4:$BM$278,27,0)</f>
        <v>유림로지텍</v>
      </c>
      <c r="Y22" s="582" t="str">
        <f ca="1">VLOOKUP($D22,모델정보데이터!$AM$4:$BQ$398,11,0)</f>
        <v>D</v>
      </c>
      <c r="Z22" s="582" t="str">
        <f ca="1">VLOOKUP($D22,모델정보데이터!$AM$4:$BQ$398,18,0)</f>
        <v>공제조합</v>
      </c>
      <c r="AA22" s="582" t="str">
        <f ca="1">VLOOKUP($D22,모델정보데이터!$AM$4:$BQ$398,12,0)</f>
        <v>전략</v>
      </c>
      <c r="AB22" s="583">
        <f ca="1">VLOOKUP($D22,모델정보데이터!$AM$4:$BQ$398,13,0)</f>
        <v>0.03</v>
      </c>
      <c r="AC22" s="582">
        <f ca="1">VLOOKUP($D22,모델정보데이터!$AM$4:$BQ$398,17,0)</f>
        <v>0</v>
      </c>
      <c r="AD22" s="582">
        <f ca="1">VLOOKUP($D22,모델정보데이터!$AM$4:$BQ$398,10,0)</f>
        <v>0</v>
      </c>
      <c r="AE22" s="582">
        <f ca="1">IFERROR(VLOOKUP(D22,모델정보데이터!$AM$3:$BD$278,27,0),0)</f>
        <v>0</v>
      </c>
      <c r="AF22" s="1134">
        <f ca="1">VLOOKUP($D22,모델정보데이터!$AM$4:$BQ$398,14,0)</f>
        <v>0</v>
      </c>
      <c r="AG22" s="260">
        <f ca="1">VLOOKUP($D22,모델정보데이터!AM:BQ,30,0)</f>
        <v>6.8000000000000005E-2</v>
      </c>
      <c r="AH22" s="260">
        <f ca="1">VLOOKUP($D22,모델정보데이터!AM:BQ,31,0)</f>
        <v>6.1000000000000006E-2</v>
      </c>
      <c r="AI22" s="260" t="str">
        <f ca="1">VLOOKUP($D22,모델정보데이터!AM:BQ,19,0)</f>
        <v>현대</v>
      </c>
      <c r="AJ22" s="69">
        <f ca="1">VLOOKUP($D22,모델정보데이터!AM:BQ,21,0)</f>
        <v>78000</v>
      </c>
      <c r="AK22" s="69">
        <f ca="1">VLOOKUP($D22,모델정보데이터!AM:BQ,22,0)</f>
        <v>302000</v>
      </c>
      <c r="AL22" s="69">
        <f ca="1">VLOOKUP($D22,모델정보데이터!AM:BQ,20,0)</f>
        <v>4.1000000000000002E-2</v>
      </c>
      <c r="AM22" s="69">
        <f ca="1">VLOOKUP($D22,모델정보데이터!AM:BQ,23,0)</f>
        <v>0</v>
      </c>
    </row>
    <row r="23" spans="1:39">
      <c r="B23" s="273"/>
      <c r="C23" s="1894" t="str">
        <f t="shared" ca="1" si="0"/>
        <v xml:space="preserve">투싼 가솔린 터보 1.6 하이브리드 </v>
      </c>
      <c r="D23" s="269" t="str">
        <f ca="1">IF(OFFSET($D$2,21,$B$2)=0,"",OFFSET($D$2,21,$B$2))</f>
        <v xml:space="preserve">투싼 가솔린 터보 1.6 하이브리드 </v>
      </c>
      <c r="E23" s="1385">
        <v>21</v>
      </c>
      <c r="F23" s="41" t="s">
        <v>1055</v>
      </c>
      <c r="G23" s="61" t="s">
        <v>1368</v>
      </c>
      <c r="H23" s="41" t="s">
        <v>1080</v>
      </c>
      <c r="I23" s="69"/>
      <c r="J23" s="69"/>
      <c r="K23" s="69"/>
      <c r="L23" s="271" t="s">
        <v>1495</v>
      </c>
      <c r="M23" s="41" t="s">
        <v>1797</v>
      </c>
      <c r="O23" s="259">
        <f ca="1">VLOOKUP($D23,모델정보데이터!$AM$4:$BQ$398,3,0)</f>
        <v>1598</v>
      </c>
      <c r="P23" s="582" t="str">
        <f ca="1">VLOOKUP($D23,모델정보데이터!$AM$4:$BQ$398,4,0)</f>
        <v>T</v>
      </c>
      <c r="Q23" s="582">
        <f ca="1">VLOOKUP($D23,모델정보데이터!$AM$4:$BQ$398,5,0)</f>
        <v>5</v>
      </c>
      <c r="R23" s="582" t="str">
        <f ca="1">VLOOKUP($D23,모델정보데이터!$AM$4:$BQ$398,6,0)</f>
        <v>RV</v>
      </c>
      <c r="S23" s="582" t="str">
        <f ca="1">VLOOKUP($D23,모델정보데이터!$AM$4:$BQ$398,7,0)</f>
        <v>승용</v>
      </c>
      <c r="T23" s="582" t="str">
        <f ca="1">VLOOKUP($D23,모델정보데이터!$AM$4:$BQ$398,15,0)</f>
        <v>A11</v>
      </c>
      <c r="U23" s="582" t="str">
        <f ca="1">VLOOKUP($D23,모델정보데이터!$AM$4:$BQ$398,16,0)</f>
        <v>A8</v>
      </c>
      <c r="V23" s="582" t="str">
        <f ca="1">VLOOKUP($D23,모델정보데이터!$AM$4:$BQ$398,8,0)</f>
        <v>7급</v>
      </c>
      <c r="W23" s="582" t="str">
        <f ca="1">VLOOKUP($D23,모델정보데이터!$AM$4:$BQ$398,9,0)</f>
        <v>02:울산</v>
      </c>
      <c r="X23" s="582" t="str">
        <f ca="1">VLOOKUP($D23,모델정보데이터!$AM$4:$BM$278,27,0)</f>
        <v>유림로지텍</v>
      </c>
      <c r="Y23" s="582" t="str">
        <f ca="1">VLOOKUP($D23,모델정보데이터!$AM$4:$BQ$398,11,0)</f>
        <v>D</v>
      </c>
      <c r="Z23" s="582" t="str">
        <f ca="1">VLOOKUP($D23,모델정보데이터!$AM$4:$BQ$398,18,0)</f>
        <v>공제조합</v>
      </c>
      <c r="AA23" s="582" t="str">
        <f ca="1">VLOOKUP($D23,모델정보데이터!$AM$4:$BQ$398,12,0)</f>
        <v>전략</v>
      </c>
      <c r="AB23" s="583">
        <f ca="1">VLOOKUP($D23,모델정보데이터!$AM$4:$BQ$398,13,0)</f>
        <v>0.03</v>
      </c>
      <c r="AC23" s="582">
        <f ca="1">VLOOKUP($D23,모델정보데이터!$AM$4:$BQ$398,17,0)</f>
        <v>0</v>
      </c>
      <c r="AD23" s="582">
        <f ca="1">VLOOKUP($D23,모델정보데이터!$AM$4:$BQ$398,10,0)</f>
        <v>0</v>
      </c>
      <c r="AE23" s="582">
        <f ca="1">IFERROR(VLOOKUP(D23,모델정보데이터!$AM$3:$BD$278,27,0),0)</f>
        <v>0</v>
      </c>
      <c r="AF23" s="1134">
        <f ca="1">VLOOKUP($D23,모델정보데이터!$AM$4:$BQ$398,14,0)</f>
        <v>0</v>
      </c>
      <c r="AG23" s="260">
        <f ca="1">VLOOKUP($D23,모델정보데이터!AM:BQ,30,0)</f>
        <v>6.8000000000000005E-2</v>
      </c>
      <c r="AH23" s="260">
        <f ca="1">VLOOKUP($D23,모델정보데이터!AM:BQ,31,0)</f>
        <v>6.1000000000000006E-2</v>
      </c>
      <c r="AI23" s="260" t="str">
        <f ca="1">VLOOKUP($D23,모델정보데이터!AM:BQ,19,0)</f>
        <v>현대</v>
      </c>
      <c r="AJ23" s="69">
        <f ca="1">VLOOKUP($D23,모델정보데이터!AM:BQ,21,0)</f>
        <v>78000</v>
      </c>
      <c r="AK23" s="69">
        <f ca="1">VLOOKUP($D23,모델정보데이터!AM:BQ,22,0)</f>
        <v>302000</v>
      </c>
      <c r="AL23" s="69">
        <f ca="1">VLOOKUP($D23,모델정보데이터!AM:BQ,20,0)</f>
        <v>4.1000000000000002E-2</v>
      </c>
      <c r="AM23" s="69">
        <f ca="1">VLOOKUP($D23,모델정보데이터!AM:BQ,23,0)</f>
        <v>0</v>
      </c>
    </row>
    <row r="24" spans="1:39">
      <c r="B24" s="273"/>
      <c r="C24" s="1894" t="str">
        <f t="shared" ca="1" si="0"/>
        <v>————————◆신형 싼타페◆———————————————</v>
      </c>
      <c r="D24" s="269" t="str">
        <f ca="1">IF(OFFSET($D$2,22,$B$2)=0,"",OFFSET($D$2,22,$B$2))</f>
        <v>————————◆신형 싼타페◆———————————————</v>
      </c>
      <c r="E24" s="1385">
        <v>22</v>
      </c>
      <c r="F24" s="41" t="s">
        <v>1176</v>
      </c>
      <c r="G24" s="61" t="s">
        <v>1369</v>
      </c>
      <c r="H24" s="41" t="s">
        <v>1081</v>
      </c>
      <c r="I24" s="69"/>
      <c r="J24" s="69"/>
      <c r="K24" s="69"/>
      <c r="L24" s="271" t="s">
        <v>1496</v>
      </c>
      <c r="M24" s="482" t="s">
        <v>1963</v>
      </c>
      <c r="O24" s="259" t="e">
        <f ca="1">VLOOKUP($D24,모델정보데이터!$AM$4:$BQ$398,3,0)</f>
        <v>#N/A</v>
      </c>
      <c r="P24" s="582" t="e">
        <f ca="1">VLOOKUP($D24,모델정보데이터!$AM$4:$BQ$398,4,0)</f>
        <v>#N/A</v>
      </c>
      <c r="Q24" s="582" t="e">
        <f ca="1">VLOOKUP($D24,모델정보데이터!$AM$4:$BQ$398,5,0)</f>
        <v>#N/A</v>
      </c>
      <c r="R24" s="582" t="e">
        <f ca="1">VLOOKUP($D24,모델정보데이터!$AM$4:$BQ$398,6,0)</f>
        <v>#N/A</v>
      </c>
      <c r="S24" s="582" t="e">
        <f ca="1">VLOOKUP($D24,모델정보데이터!$AM$4:$BQ$398,7,0)</f>
        <v>#N/A</v>
      </c>
      <c r="T24" s="582" t="e">
        <f ca="1">VLOOKUP($D24,모델정보데이터!$AM$4:$BQ$398,15,0)</f>
        <v>#N/A</v>
      </c>
      <c r="U24" s="582" t="e">
        <f ca="1">VLOOKUP($D24,모델정보데이터!$AM$4:$BQ$398,16,0)</f>
        <v>#N/A</v>
      </c>
      <c r="V24" s="582" t="e">
        <f ca="1">VLOOKUP($D24,모델정보데이터!$AM$4:$BQ$398,8,0)</f>
        <v>#N/A</v>
      </c>
      <c r="W24" s="582" t="e">
        <f ca="1">VLOOKUP($D24,모델정보데이터!$AM$4:$BQ$398,9,0)</f>
        <v>#N/A</v>
      </c>
      <c r="X24" s="582" t="e">
        <f ca="1">VLOOKUP($D24,모델정보데이터!$AM$4:$BM$278,27,0)</f>
        <v>#N/A</v>
      </c>
      <c r="Y24" s="582" t="e">
        <f ca="1">VLOOKUP($D24,모델정보데이터!$AM$4:$BQ$398,11,0)</f>
        <v>#N/A</v>
      </c>
      <c r="Z24" s="582" t="e">
        <f ca="1">VLOOKUP($D24,모델정보데이터!$AM$4:$BQ$398,18,0)</f>
        <v>#N/A</v>
      </c>
      <c r="AA24" s="582" t="e">
        <f ca="1">VLOOKUP($D24,모델정보데이터!$AM$4:$BQ$398,12,0)</f>
        <v>#N/A</v>
      </c>
      <c r="AB24" s="583" t="e">
        <f ca="1">VLOOKUP($D24,모델정보데이터!$AM$4:$BQ$398,13,0)</f>
        <v>#N/A</v>
      </c>
      <c r="AC24" s="582" t="e">
        <f ca="1">VLOOKUP($D24,모델정보데이터!$AM$4:$BQ$398,17,0)</f>
        <v>#N/A</v>
      </c>
      <c r="AD24" s="582" t="e">
        <f ca="1">VLOOKUP($D24,모델정보데이터!$AM$4:$BQ$398,10,0)</f>
        <v>#N/A</v>
      </c>
      <c r="AE24" s="582">
        <f ca="1">IFERROR(VLOOKUP(D24,모델정보데이터!$AM$3:$BD$278,27,0),0)</f>
        <v>0</v>
      </c>
      <c r="AF24" s="1134" t="e">
        <f ca="1">VLOOKUP($D24,모델정보데이터!$AM$4:$BQ$398,14,0)</f>
        <v>#N/A</v>
      </c>
      <c r="AG24" s="260" t="e">
        <f ca="1">VLOOKUP($D24,모델정보데이터!AM:BQ,30,0)</f>
        <v>#N/A</v>
      </c>
      <c r="AH24" s="260" t="e">
        <f ca="1">VLOOKUP($D24,모델정보데이터!AM:BQ,31,0)</f>
        <v>#N/A</v>
      </c>
      <c r="AI24" s="260" t="e">
        <f ca="1">VLOOKUP($D24,모델정보데이터!AM:BQ,19,0)</f>
        <v>#N/A</v>
      </c>
      <c r="AJ24" s="69" t="e">
        <f ca="1">VLOOKUP($D24,모델정보데이터!AM:BQ,21,0)</f>
        <v>#N/A</v>
      </c>
      <c r="AK24" s="69" t="e">
        <f ca="1">VLOOKUP($D24,모델정보데이터!AM:BQ,22,0)</f>
        <v>#N/A</v>
      </c>
      <c r="AL24" s="69" t="e">
        <f ca="1">VLOOKUP($D24,모델정보데이터!AM:BQ,20,0)</f>
        <v>#N/A</v>
      </c>
      <c r="AM24" s="69" t="e">
        <f ca="1">VLOOKUP($D24,모델정보데이터!AM:BQ,23,0)</f>
        <v>#N/A</v>
      </c>
    </row>
    <row r="25" spans="1:39">
      <c r="B25" s="273"/>
      <c r="C25" s="1894" t="str">
        <f t="shared" ca="1" si="0"/>
        <v>싼타페 가솔린 터보 2.5 2WD  (5인승)</v>
      </c>
      <c r="D25" s="269" t="str">
        <f ca="1">IF(OFFSET($D$2,23,$B$2)=0,"",OFFSET($D$2,23,$B$2))</f>
        <v>싼타페 가솔린 터보 2.5 2WD  (5인승)</v>
      </c>
      <c r="E25" s="1385">
        <v>23</v>
      </c>
      <c r="F25" s="41" t="s">
        <v>1339</v>
      </c>
      <c r="G25" s="61" t="s">
        <v>1370</v>
      </c>
      <c r="H25" s="41" t="s">
        <v>1082</v>
      </c>
      <c r="I25" s="69"/>
      <c r="J25" s="69"/>
      <c r="K25" s="69"/>
      <c r="L25" s="271" t="s">
        <v>1497</v>
      </c>
      <c r="M25" s="482" t="s">
        <v>1964</v>
      </c>
      <c r="O25" s="259">
        <f ca="1">VLOOKUP($D25,모델정보데이터!$AM$4:$BQ$398,3,0)</f>
        <v>2497</v>
      </c>
      <c r="P25" s="582" t="str">
        <f ca="1">VLOOKUP($D25,모델정보데이터!$AM$4:$BQ$398,4,0)</f>
        <v>M</v>
      </c>
      <c r="Q25" s="582">
        <f ca="1">VLOOKUP($D25,모델정보데이터!$AM$4:$BQ$398,5,0)</f>
        <v>5</v>
      </c>
      <c r="R25" s="582" t="str">
        <f ca="1">VLOOKUP($D25,모델정보데이터!$AM$4:$BQ$398,6,0)</f>
        <v>RV</v>
      </c>
      <c r="S25" s="582" t="str">
        <f ca="1">VLOOKUP($D25,모델정보데이터!$AM$4:$BQ$398,7,0)</f>
        <v>승용</v>
      </c>
      <c r="T25" s="582" t="str">
        <f ca="1">VLOOKUP($D25,모델정보데이터!$AM$4:$BQ$398,15,0)</f>
        <v>A9</v>
      </c>
      <c r="U25" s="582" t="str">
        <f ca="1">VLOOKUP($D25,모델정보데이터!$AM$4:$BQ$398,16,0)</f>
        <v>A6</v>
      </c>
      <c r="V25" s="582" t="str">
        <f ca="1">VLOOKUP($D25,모델정보데이터!$AM$4:$BQ$398,8,0)</f>
        <v>7급</v>
      </c>
      <c r="W25" s="582" t="str">
        <f ca="1">VLOOKUP($D25,모델정보데이터!$AM$4:$BQ$398,9,0)</f>
        <v>02:울산</v>
      </c>
      <c r="X25" s="582" t="str">
        <f ca="1">VLOOKUP($D25,모델정보데이터!$AM$4:$BM$278,27,0)</f>
        <v>유림로지텍</v>
      </c>
      <c r="Y25" s="582" t="str">
        <f ca="1">VLOOKUP($D25,모델정보데이터!$AM$4:$BQ$398,11,0)</f>
        <v>D</v>
      </c>
      <c r="Z25" s="582" t="str">
        <f ca="1">VLOOKUP($D25,모델정보데이터!$AM$4:$BQ$398,18,0)</f>
        <v>공제조합</v>
      </c>
      <c r="AA25" s="582" t="str">
        <f ca="1">VLOOKUP($D25,모델정보데이터!$AM$4:$BQ$398,12,0)</f>
        <v>전략P</v>
      </c>
      <c r="AB25" s="583">
        <f ca="1">VLOOKUP($D25,모델정보데이터!$AM$4:$BQ$398,13,0)</f>
        <v>2.5000000000000001E-2</v>
      </c>
      <c r="AC25" s="582">
        <f ca="1">VLOOKUP($D25,모델정보데이터!$AM$4:$BQ$398,17,0)</f>
        <v>0</v>
      </c>
      <c r="AD25" s="582">
        <f ca="1">VLOOKUP($D25,모델정보데이터!$AM$4:$BQ$398,10,0)</f>
        <v>0</v>
      </c>
      <c r="AE25" s="582">
        <f ca="1">IFERROR(VLOOKUP(D25,모델정보데이터!$AM$3:$BD$278,27,0),0)</f>
        <v>0</v>
      </c>
      <c r="AF25" s="1134">
        <f ca="1">VLOOKUP($D25,모델정보데이터!$AM$4:$BQ$398,14,0)</f>
        <v>0</v>
      </c>
      <c r="AG25" s="260">
        <f ca="1">VLOOKUP($D25,모델정보데이터!AM:BQ,30,0)</f>
        <v>6.2E-2</v>
      </c>
      <c r="AH25" s="260">
        <f ca="1">VLOOKUP($D25,모델정보데이터!AM:BQ,31,0)</f>
        <v>5.5E-2</v>
      </c>
      <c r="AI25" s="260" t="str">
        <f ca="1">VLOOKUP($D25,모델정보데이터!AM:BQ,19,0)</f>
        <v>현대</v>
      </c>
      <c r="AJ25" s="69">
        <f ca="1">VLOOKUP($D25,모델정보데이터!AM:BQ,21,0)</f>
        <v>80000</v>
      </c>
      <c r="AK25" s="69">
        <f ca="1">VLOOKUP($D25,모델정보데이터!AM:BQ,22,0)</f>
        <v>304000</v>
      </c>
      <c r="AL25" s="69">
        <f ca="1">VLOOKUP($D25,모델정보데이터!AM:BQ,20,0)</f>
        <v>4.1000000000000002E-2</v>
      </c>
      <c r="AM25" s="69">
        <f ca="1">VLOOKUP($D25,모델정보데이터!AM:BQ,23,0)</f>
        <v>0</v>
      </c>
    </row>
    <row r="26" spans="1:39">
      <c r="B26" s="273"/>
      <c r="C26" s="1894" t="str">
        <f t="shared" ca="1" si="0"/>
        <v>싼타페 가솔린 터보 2.5 2WD  (6인승)</v>
      </c>
      <c r="D26" s="269" t="str">
        <f ca="1">IF(OFFSET($D$2,24,$B$2)=0,"",OFFSET($D$2,24,$B$2))</f>
        <v>싼타페 가솔린 터보 2.5 2WD  (6인승)</v>
      </c>
      <c r="E26" s="1385">
        <v>24</v>
      </c>
      <c r="F26" s="41" t="s">
        <v>1340</v>
      </c>
      <c r="G26" s="61" t="s">
        <v>1371</v>
      </c>
      <c r="H26" s="41" t="s">
        <v>1083</v>
      </c>
      <c r="I26" s="69"/>
      <c r="J26" s="69"/>
      <c r="K26" s="69"/>
      <c r="L26" s="271" t="s">
        <v>1498</v>
      </c>
      <c r="M26" s="41" t="s">
        <v>1796</v>
      </c>
      <c r="O26" s="259">
        <f ca="1">VLOOKUP($D26,모델정보데이터!$AM$4:$BQ$398,3,0)</f>
        <v>2497</v>
      </c>
      <c r="P26" s="582" t="str">
        <f ca="1">VLOOKUP($D26,모델정보데이터!$AM$4:$BQ$398,4,0)</f>
        <v>M</v>
      </c>
      <c r="Q26" s="582">
        <f ca="1">VLOOKUP($D26,모델정보데이터!$AM$4:$BQ$398,5,0)</f>
        <v>6</v>
      </c>
      <c r="R26" s="582" t="str">
        <f ca="1">VLOOKUP($D26,모델정보데이터!$AM$4:$BQ$398,6,0)</f>
        <v>RV</v>
      </c>
      <c r="S26" s="582" t="str">
        <f ca="1">VLOOKUP($D26,모델정보데이터!$AM$4:$BQ$398,7,0)</f>
        <v>승용</v>
      </c>
      <c r="T26" s="582" t="str">
        <f ca="1">VLOOKUP($D26,모델정보데이터!$AM$4:$BQ$398,15,0)</f>
        <v>A9</v>
      </c>
      <c r="U26" s="582" t="str">
        <f ca="1">VLOOKUP($D26,모델정보데이터!$AM$4:$BQ$398,16,0)</f>
        <v>A6</v>
      </c>
      <c r="V26" s="582" t="str">
        <f ca="1">VLOOKUP($D26,모델정보데이터!$AM$4:$BQ$398,8,0)</f>
        <v>7급</v>
      </c>
      <c r="W26" s="582" t="str">
        <f ca="1">VLOOKUP($D26,모델정보데이터!$AM$4:$BQ$398,9,0)</f>
        <v>02:울산</v>
      </c>
      <c r="X26" s="582" t="str">
        <f ca="1">VLOOKUP($D26,모델정보데이터!$AM$4:$BM$278,27,0)</f>
        <v>유림로지텍</v>
      </c>
      <c r="Y26" s="582" t="str">
        <f ca="1">VLOOKUP($D26,모델정보데이터!$AM$4:$BQ$398,11,0)</f>
        <v>D</v>
      </c>
      <c r="Z26" s="582" t="str">
        <f ca="1">VLOOKUP($D26,모델정보데이터!$AM$4:$BQ$398,18,0)</f>
        <v>공제조합</v>
      </c>
      <c r="AA26" s="582" t="str">
        <f ca="1">VLOOKUP($D26,모델정보데이터!$AM$4:$BQ$398,12,0)</f>
        <v>전략P</v>
      </c>
      <c r="AB26" s="583">
        <f ca="1">VLOOKUP($D26,모델정보데이터!$AM$4:$BQ$398,13,0)</f>
        <v>2.5000000000000001E-2</v>
      </c>
      <c r="AC26" s="582">
        <f ca="1">VLOOKUP($D26,모델정보데이터!$AM$4:$BQ$398,17,0)</f>
        <v>0</v>
      </c>
      <c r="AD26" s="582">
        <f ca="1">VLOOKUP($D26,모델정보데이터!$AM$4:$BQ$398,10,0)</f>
        <v>0</v>
      </c>
      <c r="AE26" s="582">
        <f ca="1">IFERROR(VLOOKUP(D26,모델정보데이터!$AM$3:$BD$278,27,0),0)</f>
        <v>0</v>
      </c>
      <c r="AF26" s="1134">
        <f ca="1">VLOOKUP($D26,모델정보데이터!$AM$4:$BQ$398,14,0)</f>
        <v>0</v>
      </c>
      <c r="AG26" s="260">
        <f ca="1">VLOOKUP($D26,모델정보데이터!AM:BQ,30,0)</f>
        <v>6.2E-2</v>
      </c>
      <c r="AH26" s="260">
        <f ca="1">VLOOKUP($D26,모델정보데이터!AM:BQ,31,0)</f>
        <v>5.5E-2</v>
      </c>
      <c r="AI26" s="260" t="str">
        <f ca="1">VLOOKUP($D26,모델정보데이터!AM:BQ,19,0)</f>
        <v>현대</v>
      </c>
      <c r="AJ26" s="69">
        <f ca="1">VLOOKUP($D26,모델정보데이터!AM:BQ,21,0)</f>
        <v>80000</v>
      </c>
      <c r="AK26" s="69">
        <f ca="1">VLOOKUP($D26,모델정보데이터!AM:BQ,22,0)</f>
        <v>304000</v>
      </c>
      <c r="AL26" s="69">
        <f ca="1">VLOOKUP($D26,모델정보데이터!AM:BQ,20,0)</f>
        <v>4.1000000000000002E-2</v>
      </c>
      <c r="AM26" s="69">
        <f ca="1">VLOOKUP($D26,모델정보데이터!AM:BQ,23,0)</f>
        <v>0</v>
      </c>
    </row>
    <row r="27" spans="1:39">
      <c r="B27" s="273"/>
      <c r="C27" s="1894" t="str">
        <f t="shared" ca="1" si="0"/>
        <v>싼타페 가솔린 터보 2.5 2WD  (7인승)</v>
      </c>
      <c r="D27" s="269" t="str">
        <f ca="1">IF(OFFSET($D$2,25,$B$2)=0,"",OFFSET($D$2,25,$B$2))</f>
        <v>싼타페 가솔린 터보 2.5 2WD  (7인승)</v>
      </c>
      <c r="E27" s="1385">
        <v>25</v>
      </c>
      <c r="F27" s="41" t="s">
        <v>1341</v>
      </c>
      <c r="G27" s="61" t="s">
        <v>969</v>
      </c>
      <c r="H27" s="41" t="s">
        <v>1245</v>
      </c>
      <c r="I27" s="69"/>
      <c r="J27" s="69"/>
      <c r="K27" s="69"/>
      <c r="L27" s="271" t="s">
        <v>1111</v>
      </c>
      <c r="M27" s="41" t="s">
        <v>1965</v>
      </c>
      <c r="O27" s="259">
        <f ca="1">VLOOKUP($D27,모델정보데이터!$AM$4:$BQ$398,3,0)</f>
        <v>2497</v>
      </c>
      <c r="P27" s="582" t="str">
        <f ca="1">VLOOKUP($D27,모델정보데이터!$AM$4:$BQ$398,4,0)</f>
        <v>M</v>
      </c>
      <c r="Q27" s="582">
        <f ca="1">VLOOKUP($D27,모델정보데이터!$AM$4:$BQ$398,5,0)</f>
        <v>7</v>
      </c>
      <c r="R27" s="582" t="str">
        <f ca="1">VLOOKUP($D27,모델정보데이터!$AM$4:$BQ$398,6,0)</f>
        <v>RV</v>
      </c>
      <c r="S27" s="582" t="str">
        <f ca="1">VLOOKUP($D27,모델정보데이터!$AM$4:$BQ$398,7,0)</f>
        <v>다인승</v>
      </c>
      <c r="T27" s="582" t="str">
        <f ca="1">VLOOKUP($D27,모델정보데이터!$AM$4:$BQ$398,15,0)</f>
        <v>A9</v>
      </c>
      <c r="U27" s="582" t="str">
        <f ca="1">VLOOKUP($D27,모델정보데이터!$AM$4:$BQ$398,16,0)</f>
        <v>A6</v>
      </c>
      <c r="V27" s="582" t="str">
        <f ca="1">VLOOKUP($D27,모델정보데이터!$AM$4:$BQ$398,8,0)</f>
        <v>7급</v>
      </c>
      <c r="W27" s="582" t="str">
        <f ca="1">VLOOKUP($D27,모델정보데이터!$AM$4:$BQ$398,9,0)</f>
        <v>02:울산</v>
      </c>
      <c r="X27" s="582" t="str">
        <f ca="1">VLOOKUP($D27,모델정보데이터!$AM$4:$BM$278,27,0)</f>
        <v>유림로지텍</v>
      </c>
      <c r="Y27" s="582" t="str">
        <f ca="1">VLOOKUP($D27,모델정보데이터!$AM$4:$BQ$398,11,0)</f>
        <v>D</v>
      </c>
      <c r="Z27" s="582" t="str">
        <f ca="1">VLOOKUP($D27,모델정보데이터!$AM$4:$BQ$398,18,0)</f>
        <v>공제조합</v>
      </c>
      <c r="AA27" s="582" t="str">
        <f ca="1">VLOOKUP($D27,모델정보데이터!$AM$4:$BQ$398,12,0)</f>
        <v>전략P</v>
      </c>
      <c r="AB27" s="583">
        <f ca="1">VLOOKUP($D27,모델정보데이터!$AM$4:$BQ$398,13,0)</f>
        <v>2.5000000000000001E-2</v>
      </c>
      <c r="AC27" s="582">
        <f ca="1">VLOOKUP($D27,모델정보데이터!$AM$4:$BQ$398,17,0)</f>
        <v>0</v>
      </c>
      <c r="AD27" s="582">
        <f ca="1">VLOOKUP($D27,모델정보데이터!$AM$4:$BQ$398,10,0)</f>
        <v>0</v>
      </c>
      <c r="AE27" s="582">
        <f ca="1">IFERROR(VLOOKUP(D27,모델정보데이터!$AM$3:$BD$278,27,0),0)</f>
        <v>0</v>
      </c>
      <c r="AF27" s="1134">
        <f ca="1">VLOOKUP($D27,모델정보데이터!$AM$4:$BQ$398,14,0)</f>
        <v>0</v>
      </c>
      <c r="AG27" s="260">
        <f ca="1">VLOOKUP($D27,모델정보데이터!AM:BQ,30,0)</f>
        <v>6.2E-2</v>
      </c>
      <c r="AH27" s="260">
        <f ca="1">VLOOKUP($D27,모델정보데이터!AM:BQ,31,0)</f>
        <v>5.5E-2</v>
      </c>
      <c r="AI27" s="260" t="str">
        <f ca="1">VLOOKUP($D27,모델정보데이터!AM:BQ,19,0)</f>
        <v>현대</v>
      </c>
      <c r="AJ27" s="69">
        <f ca="1">VLOOKUP($D27,모델정보데이터!AM:BQ,21,0)</f>
        <v>80000</v>
      </c>
      <c r="AK27" s="69">
        <f ca="1">VLOOKUP($D27,모델정보데이터!AM:BQ,22,0)</f>
        <v>304000</v>
      </c>
      <c r="AL27" s="69">
        <f ca="1">VLOOKUP($D27,모델정보데이터!AM:BQ,20,0)</f>
        <v>4.1000000000000002E-2</v>
      </c>
      <c r="AM27" s="69">
        <f ca="1">VLOOKUP($D27,모델정보데이터!AM:BQ,23,0)</f>
        <v>0</v>
      </c>
    </row>
    <row r="28" spans="1:39">
      <c r="B28" s="273"/>
      <c r="C28" s="1894" t="str">
        <f t="shared" ca="1" si="0"/>
        <v>싼타페 가솔린 터보 2.5 AWD  (5인승)</v>
      </c>
      <c r="D28" s="269" t="str">
        <f ca="1">IF(OFFSET($D$2,26,$B$2)=0,"",OFFSET($D$2,26,$B$2))</f>
        <v>싼타페 가솔린 터보 2.5 AWD  (5인승)</v>
      </c>
      <c r="E28" s="1385">
        <v>26</v>
      </c>
      <c r="F28" s="41" t="s">
        <v>1342</v>
      </c>
      <c r="G28" s="61" t="s">
        <v>1210</v>
      </c>
      <c r="H28" s="41" t="s">
        <v>1246</v>
      </c>
      <c r="I28" s="69"/>
      <c r="J28" s="69"/>
      <c r="K28" s="69"/>
      <c r="L28" s="271" t="s">
        <v>1112</v>
      </c>
      <c r="M28" s="41" t="s">
        <v>1798</v>
      </c>
      <c r="O28" s="259">
        <f ca="1">VLOOKUP($D28,모델정보데이터!$AM$4:$BQ$398,3,0)</f>
        <v>2497</v>
      </c>
      <c r="P28" s="582" t="str">
        <f ca="1">VLOOKUP($D28,모델정보데이터!$AM$4:$BQ$398,4,0)</f>
        <v>M</v>
      </c>
      <c r="Q28" s="582">
        <f ca="1">VLOOKUP($D28,모델정보데이터!$AM$4:$BQ$398,5,0)</f>
        <v>5</v>
      </c>
      <c r="R28" s="582" t="str">
        <f ca="1">VLOOKUP($D28,모델정보데이터!$AM$4:$BQ$398,6,0)</f>
        <v>RV</v>
      </c>
      <c r="S28" s="582" t="str">
        <f ca="1">VLOOKUP($D28,모델정보데이터!$AM$4:$BQ$398,7,0)</f>
        <v>승용</v>
      </c>
      <c r="T28" s="582" t="str">
        <f ca="1">VLOOKUP($D28,모델정보데이터!$AM$4:$BQ$398,15,0)</f>
        <v>A9</v>
      </c>
      <c r="U28" s="582" t="str">
        <f ca="1">VLOOKUP($D28,모델정보데이터!$AM$4:$BQ$398,16,0)</f>
        <v>A6</v>
      </c>
      <c r="V28" s="582" t="str">
        <f ca="1">VLOOKUP($D28,모델정보데이터!$AM$4:$BQ$398,8,0)</f>
        <v>7급</v>
      </c>
      <c r="W28" s="582" t="str">
        <f ca="1">VLOOKUP($D28,모델정보데이터!$AM$4:$BQ$398,9,0)</f>
        <v>02:울산</v>
      </c>
      <c r="X28" s="582" t="str">
        <f ca="1">VLOOKUP($D28,모델정보데이터!$AM$4:$BM$278,27,0)</f>
        <v>유림로지텍</v>
      </c>
      <c r="Y28" s="582" t="str">
        <f ca="1">VLOOKUP($D28,모델정보데이터!$AM$4:$BQ$398,11,0)</f>
        <v>D</v>
      </c>
      <c r="Z28" s="582" t="str">
        <f ca="1">VLOOKUP($D28,모델정보데이터!$AM$4:$BQ$398,18,0)</f>
        <v>공제조합</v>
      </c>
      <c r="AA28" s="582" t="str">
        <f ca="1">VLOOKUP($D28,모델정보데이터!$AM$4:$BQ$398,12,0)</f>
        <v>전략P</v>
      </c>
      <c r="AB28" s="583">
        <f ca="1">VLOOKUP($D28,모델정보데이터!$AM$4:$BQ$398,13,0)</f>
        <v>2.5000000000000001E-2</v>
      </c>
      <c r="AC28" s="582">
        <f ca="1">VLOOKUP($D28,모델정보데이터!$AM$4:$BQ$398,17,0)</f>
        <v>0</v>
      </c>
      <c r="AD28" s="582">
        <f ca="1">VLOOKUP($D28,모델정보데이터!$AM$4:$BQ$398,10,0)</f>
        <v>0</v>
      </c>
      <c r="AE28" s="582">
        <f ca="1">IFERROR(VLOOKUP(D28,모델정보데이터!$AM$3:$BD$278,27,0),0)</f>
        <v>0</v>
      </c>
      <c r="AF28" s="1134">
        <f ca="1">VLOOKUP($D28,모델정보데이터!$AM$4:$BQ$398,14,0)</f>
        <v>0</v>
      </c>
      <c r="AG28" s="260">
        <f ca="1">VLOOKUP($D28,모델정보데이터!AM:BQ,30,0)</f>
        <v>6.2E-2</v>
      </c>
      <c r="AH28" s="260">
        <f ca="1">VLOOKUP($D28,모델정보데이터!AM:BQ,31,0)</f>
        <v>5.5E-2</v>
      </c>
      <c r="AI28" s="260" t="str">
        <f ca="1">VLOOKUP($D28,모델정보데이터!AM:BQ,19,0)</f>
        <v>현대</v>
      </c>
      <c r="AJ28" s="69">
        <f ca="1">VLOOKUP($D28,모델정보데이터!AM:BQ,21,0)</f>
        <v>80000</v>
      </c>
      <c r="AK28" s="69">
        <f ca="1">VLOOKUP($D28,모델정보데이터!AM:BQ,22,0)</f>
        <v>304000</v>
      </c>
      <c r="AL28" s="69">
        <f ca="1">VLOOKUP($D28,모델정보데이터!AM:BQ,20,0)</f>
        <v>4.1000000000000002E-2</v>
      </c>
      <c r="AM28" s="69">
        <f ca="1">VLOOKUP($D28,모델정보데이터!AM:BQ,23,0)</f>
        <v>0</v>
      </c>
    </row>
    <row r="29" spans="1:39">
      <c r="B29" s="273"/>
      <c r="C29" s="1894" t="str">
        <f t="shared" ca="1" si="0"/>
        <v>싼타페 가솔린 터보 2.5 AWD  (6인승)</v>
      </c>
      <c r="D29" s="269" t="str">
        <f ca="1">IF(OFFSET($D$2,27,$B$2)=0,"",OFFSET($D$2,27,$B$2))</f>
        <v>싼타페 가솔린 터보 2.5 AWD  (6인승)</v>
      </c>
      <c r="E29" s="1385">
        <v>27</v>
      </c>
      <c r="F29" s="41" t="s">
        <v>1343</v>
      </c>
      <c r="G29" s="61" t="s">
        <v>1211</v>
      </c>
      <c r="H29" s="481" t="s">
        <v>1247</v>
      </c>
      <c r="I29" s="69"/>
      <c r="J29" s="69"/>
      <c r="K29" s="69"/>
      <c r="L29" s="271" t="s">
        <v>1113</v>
      </c>
      <c r="M29" s="41" t="s">
        <v>1966</v>
      </c>
      <c r="O29" s="259">
        <f ca="1">VLOOKUP($D29,모델정보데이터!$AM$4:$BQ$398,3,0)</f>
        <v>2497</v>
      </c>
      <c r="P29" s="582" t="str">
        <f ca="1">VLOOKUP($D29,모델정보데이터!$AM$4:$BQ$398,4,0)</f>
        <v>M</v>
      </c>
      <c r="Q29" s="582">
        <f ca="1">VLOOKUP($D29,모델정보데이터!$AM$4:$BQ$398,5,0)</f>
        <v>6</v>
      </c>
      <c r="R29" s="582" t="str">
        <f ca="1">VLOOKUP($D29,모델정보데이터!$AM$4:$BQ$398,6,0)</f>
        <v>RV</v>
      </c>
      <c r="S29" s="582" t="str">
        <f ca="1">VLOOKUP($D29,모델정보데이터!$AM$4:$BQ$398,7,0)</f>
        <v>승용</v>
      </c>
      <c r="T29" s="582" t="str">
        <f ca="1">VLOOKUP($D29,모델정보데이터!$AM$4:$BQ$398,15,0)</f>
        <v>A9</v>
      </c>
      <c r="U29" s="582" t="str">
        <f ca="1">VLOOKUP($D29,모델정보데이터!$AM$4:$BQ$398,16,0)</f>
        <v>A6</v>
      </c>
      <c r="V29" s="582" t="str">
        <f ca="1">VLOOKUP($D29,모델정보데이터!$AM$4:$BQ$398,8,0)</f>
        <v>7급</v>
      </c>
      <c r="W29" s="582" t="str">
        <f ca="1">VLOOKUP($D29,모델정보데이터!$AM$4:$BQ$398,9,0)</f>
        <v>02:울산</v>
      </c>
      <c r="X29" s="582" t="str">
        <f ca="1">VLOOKUP($D29,모델정보데이터!$AM$4:$BM$278,27,0)</f>
        <v>유림로지텍</v>
      </c>
      <c r="Y29" s="582" t="str">
        <f ca="1">VLOOKUP($D29,모델정보데이터!$AM$4:$BQ$398,11,0)</f>
        <v>D</v>
      </c>
      <c r="Z29" s="582" t="str">
        <f ca="1">VLOOKUP($D29,모델정보데이터!$AM$4:$BQ$398,18,0)</f>
        <v>공제조합</v>
      </c>
      <c r="AA29" s="582" t="str">
        <f ca="1">VLOOKUP($D29,모델정보데이터!$AM$4:$BQ$398,12,0)</f>
        <v>전략P</v>
      </c>
      <c r="AB29" s="583">
        <f ca="1">VLOOKUP($D29,모델정보데이터!$AM$4:$BQ$398,13,0)</f>
        <v>2.5000000000000001E-2</v>
      </c>
      <c r="AC29" s="582">
        <f ca="1">VLOOKUP($D29,모델정보데이터!$AM$4:$BQ$398,17,0)</f>
        <v>0</v>
      </c>
      <c r="AD29" s="582">
        <f ca="1">VLOOKUP($D29,모델정보데이터!$AM$4:$BQ$398,10,0)</f>
        <v>0</v>
      </c>
      <c r="AE29" s="582">
        <f ca="1">IFERROR(VLOOKUP(D29,모델정보데이터!$AM$3:$BD$278,27,0),0)</f>
        <v>0</v>
      </c>
      <c r="AF29" s="1134">
        <f ca="1">VLOOKUP($D29,모델정보데이터!$AM$4:$BQ$398,14,0)</f>
        <v>0</v>
      </c>
      <c r="AG29" s="260">
        <f ca="1">VLOOKUP($D29,모델정보데이터!AM:BQ,30,0)</f>
        <v>6.2E-2</v>
      </c>
      <c r="AH29" s="260">
        <f ca="1">VLOOKUP($D29,모델정보데이터!AM:BQ,31,0)</f>
        <v>5.5E-2</v>
      </c>
      <c r="AI29" s="260" t="str">
        <f ca="1">VLOOKUP($D29,모델정보데이터!AM:BQ,19,0)</f>
        <v>현대</v>
      </c>
      <c r="AJ29" s="69">
        <f ca="1">VLOOKUP($D29,모델정보데이터!AM:BQ,21,0)</f>
        <v>80000</v>
      </c>
      <c r="AK29" s="69">
        <f ca="1">VLOOKUP($D29,모델정보데이터!AM:BQ,22,0)</f>
        <v>304000</v>
      </c>
      <c r="AL29" s="69">
        <f ca="1">VLOOKUP($D29,모델정보데이터!AM:BQ,20,0)</f>
        <v>4.1000000000000002E-2</v>
      </c>
      <c r="AM29" s="69">
        <f ca="1">VLOOKUP($D29,모델정보데이터!AM:BQ,23,0)</f>
        <v>0</v>
      </c>
    </row>
    <row r="30" spans="1:39">
      <c r="B30" s="273"/>
      <c r="C30" s="1894" t="str">
        <f t="shared" ca="1" si="0"/>
        <v>싼타페 가솔린 터보 2.5 AWD  (7인승)</v>
      </c>
      <c r="D30" s="269" t="str">
        <f ca="1">IF(OFFSET($D$2,28,$B$2)=0,"",OFFSET($D$2,28,$B$2))</f>
        <v>싼타페 가솔린 터보 2.5 AWD  (7인승)</v>
      </c>
      <c r="E30" s="1385">
        <v>28</v>
      </c>
      <c r="F30" s="41" t="s">
        <v>1344</v>
      </c>
      <c r="G30" s="61" t="s">
        <v>1212</v>
      </c>
      <c r="H30" s="41" t="s">
        <v>1248</v>
      </c>
      <c r="I30" s="69"/>
      <c r="J30" s="69"/>
      <c r="K30" s="69"/>
      <c r="L30" s="271" t="s">
        <v>1114</v>
      </c>
      <c r="M30" s="482" t="s">
        <v>1795</v>
      </c>
      <c r="O30" s="259">
        <f ca="1">VLOOKUP($D30,모델정보데이터!$AM$4:$BQ$398,3,0)</f>
        <v>2497</v>
      </c>
      <c r="P30" s="582" t="str">
        <f ca="1">VLOOKUP($D30,모델정보데이터!$AM$4:$BQ$398,4,0)</f>
        <v>M</v>
      </c>
      <c r="Q30" s="582">
        <f ca="1">VLOOKUP($D30,모델정보데이터!$AM$4:$BQ$398,5,0)</f>
        <v>7</v>
      </c>
      <c r="R30" s="582" t="str">
        <f ca="1">VLOOKUP($D30,모델정보데이터!$AM$4:$BQ$398,6,0)</f>
        <v>RV</v>
      </c>
      <c r="S30" s="582" t="str">
        <f ca="1">VLOOKUP($D30,모델정보데이터!$AM$4:$BQ$398,7,0)</f>
        <v>다인승</v>
      </c>
      <c r="T30" s="582" t="str">
        <f ca="1">VLOOKUP($D30,모델정보데이터!$AM$4:$BQ$398,15,0)</f>
        <v>A9</v>
      </c>
      <c r="U30" s="582" t="str">
        <f ca="1">VLOOKUP($D30,모델정보데이터!$AM$4:$BQ$398,16,0)</f>
        <v>A6</v>
      </c>
      <c r="V30" s="582" t="str">
        <f ca="1">VLOOKUP($D30,모델정보데이터!$AM$4:$BQ$398,8,0)</f>
        <v>7급</v>
      </c>
      <c r="W30" s="582" t="str">
        <f ca="1">VLOOKUP($D30,모델정보데이터!$AM$4:$BQ$398,9,0)</f>
        <v>02:울산</v>
      </c>
      <c r="X30" s="582" t="str">
        <f ca="1">VLOOKUP($D30,모델정보데이터!$AM$4:$BM$278,27,0)</f>
        <v>유림로지텍</v>
      </c>
      <c r="Y30" s="582" t="str">
        <f ca="1">VLOOKUP($D30,모델정보데이터!$AM$4:$BQ$398,11,0)</f>
        <v>D</v>
      </c>
      <c r="Z30" s="582" t="str">
        <f ca="1">VLOOKUP($D30,모델정보데이터!$AM$4:$BQ$398,18,0)</f>
        <v>공제조합</v>
      </c>
      <c r="AA30" s="582" t="str">
        <f ca="1">VLOOKUP($D30,모델정보데이터!$AM$4:$BQ$398,12,0)</f>
        <v>전략P</v>
      </c>
      <c r="AB30" s="583">
        <f ca="1">VLOOKUP($D30,모델정보데이터!$AM$4:$BQ$398,13,0)</f>
        <v>2.5000000000000001E-2</v>
      </c>
      <c r="AC30" s="582">
        <f ca="1">VLOOKUP($D30,모델정보데이터!$AM$4:$BQ$398,17,0)</f>
        <v>0</v>
      </c>
      <c r="AD30" s="582">
        <f ca="1">VLOOKUP($D30,모델정보데이터!$AM$4:$BQ$398,10,0)</f>
        <v>0</v>
      </c>
      <c r="AE30" s="582">
        <f ca="1">IFERROR(VLOOKUP(D30,모델정보데이터!$AM$3:$BD$278,27,0),0)</f>
        <v>0</v>
      </c>
      <c r="AF30" s="1134">
        <f ca="1">VLOOKUP($D30,모델정보데이터!$AM$4:$BQ$398,14,0)</f>
        <v>0</v>
      </c>
      <c r="AG30" s="260">
        <f ca="1">VLOOKUP($D30,모델정보데이터!AM:BQ,30,0)</f>
        <v>6.2E-2</v>
      </c>
      <c r="AH30" s="260">
        <f ca="1">VLOOKUP($D30,모델정보데이터!AM:BQ,31,0)</f>
        <v>5.5E-2</v>
      </c>
      <c r="AI30" s="260" t="str">
        <f ca="1">VLOOKUP($D30,모델정보데이터!AM:BQ,19,0)</f>
        <v>현대</v>
      </c>
      <c r="AJ30" s="69">
        <f ca="1">VLOOKUP($D30,모델정보데이터!AM:BQ,21,0)</f>
        <v>80000</v>
      </c>
      <c r="AK30" s="69">
        <f ca="1">VLOOKUP($D30,모델정보데이터!AM:BQ,22,0)</f>
        <v>304000</v>
      </c>
      <c r="AL30" s="69">
        <f ca="1">VLOOKUP($D30,모델정보데이터!AM:BQ,20,0)</f>
        <v>4.1000000000000002E-2</v>
      </c>
      <c r="AM30" s="69">
        <f ca="1">VLOOKUP($D30,모델정보데이터!AM:BQ,23,0)</f>
        <v>0</v>
      </c>
    </row>
    <row r="31" spans="1:39">
      <c r="B31" s="273"/>
      <c r="C31" s="1894" t="str">
        <f t="shared" ca="1" si="0"/>
        <v>싼타페 가솔린 터보 1.6 하이브리드 2WD  (5인승)</v>
      </c>
      <c r="D31" s="269" t="str">
        <f ca="1">IF(OFFSET($D$2,29,$B$2)=0,"",OFFSET($D$2,29,$B$2))</f>
        <v>싼타페 가솔린 터보 1.6 하이브리드 2WD  (5인승)</v>
      </c>
      <c r="E31" s="1385">
        <v>29</v>
      </c>
      <c r="F31" s="41" t="s">
        <v>1345</v>
      </c>
      <c r="G31" s="61" t="s">
        <v>1835</v>
      </c>
      <c r="H31" s="41" t="s">
        <v>1249</v>
      </c>
      <c r="I31" s="69"/>
      <c r="J31" s="69"/>
      <c r="K31" s="69"/>
      <c r="L31" s="271" t="s">
        <v>1115</v>
      </c>
      <c r="M31" s="41" t="s">
        <v>1967</v>
      </c>
      <c r="O31" s="259">
        <f ca="1">VLOOKUP($D31,모델정보데이터!$AM$4:$BQ$398,3,0)</f>
        <v>1598</v>
      </c>
      <c r="P31" s="582" t="str">
        <f ca="1">VLOOKUP($D31,모델정보데이터!$AM$4:$BQ$398,4,0)</f>
        <v>T</v>
      </c>
      <c r="Q31" s="582">
        <f ca="1">VLOOKUP($D31,모델정보데이터!$AM$4:$BQ$398,5,0)</f>
        <v>5</v>
      </c>
      <c r="R31" s="582" t="str">
        <f ca="1">VLOOKUP($D31,모델정보데이터!$AM$4:$BQ$398,6,0)</f>
        <v>RV</v>
      </c>
      <c r="S31" s="582" t="str">
        <f ca="1">VLOOKUP($D31,모델정보데이터!$AM$4:$BQ$398,7,0)</f>
        <v>승용</v>
      </c>
      <c r="T31" s="582" t="str">
        <f ca="1">VLOOKUP($D31,모델정보데이터!$AM$4:$BQ$398,15,0)</f>
        <v>A9</v>
      </c>
      <c r="U31" s="582" t="str">
        <f ca="1">VLOOKUP($D31,모델정보데이터!$AM$4:$BQ$398,16,0)</f>
        <v>A6</v>
      </c>
      <c r="V31" s="582" t="str">
        <f ca="1">VLOOKUP($D31,모델정보데이터!$AM$4:$BQ$398,8,0)</f>
        <v>7급</v>
      </c>
      <c r="W31" s="582" t="str">
        <f ca="1">VLOOKUP($D31,모델정보데이터!$AM$4:$BQ$398,9,0)</f>
        <v>02:울산</v>
      </c>
      <c r="X31" s="582" t="str">
        <f ca="1">VLOOKUP($D31,모델정보데이터!$AM$4:$BM$278,27,0)</f>
        <v>유림로지텍</v>
      </c>
      <c r="Y31" s="582" t="str">
        <f ca="1">VLOOKUP($D31,모델정보데이터!$AM$4:$BQ$398,11,0)</f>
        <v>D</v>
      </c>
      <c r="Z31" s="582" t="str">
        <f ca="1">VLOOKUP($D31,모델정보데이터!$AM$4:$BQ$398,18,0)</f>
        <v>공제조합</v>
      </c>
      <c r="AA31" s="582" t="str">
        <f ca="1">VLOOKUP($D31,모델정보데이터!$AM$4:$BQ$398,12,0)</f>
        <v>전략P</v>
      </c>
      <c r="AB31" s="583">
        <f ca="1">VLOOKUP($D31,모델정보데이터!$AM$4:$BQ$398,13,0)</f>
        <v>2.5000000000000001E-2</v>
      </c>
      <c r="AC31" s="582">
        <f ca="1">VLOOKUP($D31,모델정보데이터!$AM$4:$BQ$398,17,0)</f>
        <v>0</v>
      </c>
      <c r="AD31" s="582">
        <f ca="1">VLOOKUP($D31,모델정보데이터!$AM$4:$BQ$398,10,0)</f>
        <v>0</v>
      </c>
      <c r="AE31" s="582">
        <f ca="1">IFERROR(VLOOKUP(D31,모델정보데이터!$AM$3:$BD$278,27,0),0)</f>
        <v>0</v>
      </c>
      <c r="AF31" s="1134">
        <f ca="1">VLOOKUP($D31,모델정보데이터!$AM$4:$BQ$398,14,0)</f>
        <v>0</v>
      </c>
      <c r="AG31" s="260">
        <f ca="1">VLOOKUP($D31,모델정보데이터!AM:BQ,30,0)</f>
        <v>6.2E-2</v>
      </c>
      <c r="AH31" s="260">
        <f ca="1">VLOOKUP($D31,모델정보데이터!AM:BQ,31,0)</f>
        <v>5.5E-2</v>
      </c>
      <c r="AI31" s="260" t="str">
        <f ca="1">VLOOKUP($D31,모델정보데이터!AM:BQ,19,0)</f>
        <v>현대</v>
      </c>
      <c r="AJ31" s="69">
        <f ca="1">VLOOKUP($D31,모델정보데이터!AM:BQ,21,0)</f>
        <v>80000</v>
      </c>
      <c r="AK31" s="69">
        <f ca="1">VLOOKUP($D31,모델정보데이터!AM:BQ,22,0)</f>
        <v>304000</v>
      </c>
      <c r="AL31" s="69">
        <f ca="1">VLOOKUP($D31,모델정보데이터!AM:BQ,20,0)</f>
        <v>4.1000000000000002E-2</v>
      </c>
      <c r="AM31" s="69">
        <f ca="1">VLOOKUP($D31,모델정보데이터!AM:BQ,23,0)</f>
        <v>0</v>
      </c>
    </row>
    <row r="32" spans="1:39">
      <c r="B32" s="272"/>
      <c r="C32" s="1894" t="str">
        <f t="shared" ca="1" si="0"/>
        <v>싼타페 가솔린 터보 1.6 하이브리드 2WD  (6인승)</v>
      </c>
      <c r="D32" s="269" t="str">
        <f ca="1">IF(OFFSET($D$2,30,$B$2)=0,"",OFFSET($D$2,30,$B$2))</f>
        <v>싼타페 가솔린 터보 1.6 하이브리드 2WD  (6인승)</v>
      </c>
      <c r="E32" s="1385">
        <v>30</v>
      </c>
      <c r="F32" s="41" t="s">
        <v>1346</v>
      </c>
      <c r="G32" s="61" t="s">
        <v>1836</v>
      </c>
      <c r="H32" s="41" t="s">
        <v>1250</v>
      </c>
      <c r="I32" s="69"/>
      <c r="J32" s="69"/>
      <c r="K32" s="69"/>
      <c r="L32" s="271" t="s">
        <v>1116</v>
      </c>
      <c r="M32" s="41" t="s">
        <v>1770</v>
      </c>
      <c r="O32" s="259">
        <f ca="1">VLOOKUP($D32,모델정보데이터!$AM$4:$BQ$398,3,0)</f>
        <v>1598</v>
      </c>
      <c r="P32" s="582" t="str">
        <f ca="1">VLOOKUP($D32,모델정보데이터!$AM$4:$BQ$398,4,0)</f>
        <v>T</v>
      </c>
      <c r="Q32" s="582">
        <f ca="1">VLOOKUP($D32,모델정보데이터!$AM$4:$BQ$398,5,0)</f>
        <v>6</v>
      </c>
      <c r="R32" s="582" t="str">
        <f ca="1">VLOOKUP($D32,모델정보데이터!$AM$4:$BQ$398,6,0)</f>
        <v>RV</v>
      </c>
      <c r="S32" s="582" t="str">
        <f ca="1">VLOOKUP($D32,모델정보데이터!$AM$4:$BQ$398,7,0)</f>
        <v>승용</v>
      </c>
      <c r="T32" s="582" t="str">
        <f ca="1">VLOOKUP($D32,모델정보데이터!$AM$4:$BQ$398,15,0)</f>
        <v>A9</v>
      </c>
      <c r="U32" s="582" t="str">
        <f ca="1">VLOOKUP($D32,모델정보데이터!$AM$4:$BQ$398,16,0)</f>
        <v>A6</v>
      </c>
      <c r="V32" s="582" t="str">
        <f ca="1">VLOOKUP($D32,모델정보데이터!$AM$4:$BQ$398,8,0)</f>
        <v>7급</v>
      </c>
      <c r="W32" s="582" t="str">
        <f ca="1">VLOOKUP($D32,모델정보데이터!$AM$4:$BQ$398,9,0)</f>
        <v>02:울산</v>
      </c>
      <c r="X32" s="582" t="str">
        <f ca="1">VLOOKUP($D32,모델정보데이터!$AM$4:$BM$278,27,0)</f>
        <v>유림로지텍</v>
      </c>
      <c r="Y32" s="582" t="str">
        <f ca="1">VLOOKUP($D32,모델정보데이터!$AM$4:$BQ$398,11,0)</f>
        <v>D</v>
      </c>
      <c r="Z32" s="582" t="str">
        <f ca="1">VLOOKUP($D32,모델정보데이터!$AM$4:$BQ$398,18,0)</f>
        <v>공제조합</v>
      </c>
      <c r="AA32" s="582" t="str">
        <f ca="1">VLOOKUP($D32,모델정보데이터!$AM$4:$BQ$398,12,0)</f>
        <v>전략P</v>
      </c>
      <c r="AB32" s="583">
        <f ca="1">VLOOKUP($D32,모델정보데이터!$AM$4:$BQ$398,13,0)</f>
        <v>2.5000000000000001E-2</v>
      </c>
      <c r="AC32" s="582">
        <f ca="1">VLOOKUP($D32,모델정보데이터!$AM$4:$BQ$398,17,0)</f>
        <v>0</v>
      </c>
      <c r="AD32" s="582">
        <f ca="1">VLOOKUP($D32,모델정보데이터!$AM$4:$BQ$398,10,0)</f>
        <v>0</v>
      </c>
      <c r="AE32" s="582">
        <f ca="1">IFERROR(VLOOKUP(D32,모델정보데이터!$AM$3:$BD$278,27,0),0)</f>
        <v>0</v>
      </c>
      <c r="AF32" s="1134">
        <f ca="1">VLOOKUP($D32,모델정보데이터!$AM$4:$BQ$398,14,0)</f>
        <v>0</v>
      </c>
      <c r="AG32" s="260">
        <f ca="1">VLOOKUP($D32,모델정보데이터!AM:BQ,30,0)</f>
        <v>6.2E-2</v>
      </c>
      <c r="AH32" s="260">
        <f ca="1">VLOOKUP($D32,모델정보데이터!AM:BQ,31,0)</f>
        <v>5.5E-2</v>
      </c>
      <c r="AI32" s="260" t="str">
        <f ca="1">VLOOKUP($D32,모델정보데이터!AM:BQ,19,0)</f>
        <v>현대</v>
      </c>
      <c r="AJ32" s="69">
        <f ca="1">VLOOKUP($D32,모델정보데이터!AM:BQ,21,0)</f>
        <v>80000</v>
      </c>
      <c r="AK32" s="69">
        <f ca="1">VLOOKUP($D32,모델정보데이터!AM:BQ,22,0)</f>
        <v>304000</v>
      </c>
      <c r="AL32" s="69">
        <f ca="1">VLOOKUP($D32,모델정보데이터!AM:BQ,20,0)</f>
        <v>4.1000000000000002E-2</v>
      </c>
      <c r="AM32" s="69">
        <f ca="1">VLOOKUP($D32,모델정보데이터!AM:BQ,23,0)</f>
        <v>0</v>
      </c>
    </row>
    <row r="33" spans="2:39">
      <c r="B33" s="272"/>
      <c r="C33" s="1894" t="str">
        <f t="shared" ca="1" si="0"/>
        <v>싼타페 가솔린 터보 1.6 하이브리드 2WD  (7인승)</v>
      </c>
      <c r="D33" s="269" t="str">
        <f ca="1">IF(OFFSET($D$2,31,$B$2)=0,"",OFFSET($D$2,31,$B$2))</f>
        <v>싼타페 가솔린 터보 1.6 하이브리드 2WD  (7인승)</v>
      </c>
      <c r="E33" s="1385">
        <v>31</v>
      </c>
      <c r="F33" s="41" t="s">
        <v>1347</v>
      </c>
      <c r="G33" s="61" t="s">
        <v>1837</v>
      </c>
      <c r="H33" s="41" t="s">
        <v>1238</v>
      </c>
      <c r="I33" s="69"/>
      <c r="J33" s="69"/>
      <c r="K33" s="69"/>
      <c r="L33" s="271" t="s">
        <v>1117</v>
      </c>
      <c r="M33" s="482" t="s">
        <v>1968</v>
      </c>
      <c r="O33" s="259">
        <f ca="1">VLOOKUP($D33,모델정보데이터!$AM$4:$BQ$398,3,0)</f>
        <v>1598</v>
      </c>
      <c r="P33" s="582" t="str">
        <f ca="1">VLOOKUP($D33,모델정보데이터!$AM$4:$BQ$398,4,0)</f>
        <v>T</v>
      </c>
      <c r="Q33" s="582">
        <f ca="1">VLOOKUP($D33,모델정보데이터!$AM$4:$BQ$398,5,0)</f>
        <v>7</v>
      </c>
      <c r="R33" s="582" t="str">
        <f ca="1">VLOOKUP($D33,모델정보데이터!$AM$4:$BQ$398,6,0)</f>
        <v>RV</v>
      </c>
      <c r="S33" s="582" t="str">
        <f ca="1">VLOOKUP($D33,모델정보데이터!$AM$4:$BQ$398,7,0)</f>
        <v>다인승</v>
      </c>
      <c r="T33" s="582" t="str">
        <f ca="1">VLOOKUP($D33,모델정보데이터!$AM$4:$BQ$398,15,0)</f>
        <v>A9</v>
      </c>
      <c r="U33" s="582" t="str">
        <f ca="1">VLOOKUP($D33,모델정보데이터!$AM$4:$BQ$398,16,0)</f>
        <v>A6</v>
      </c>
      <c r="V33" s="582" t="str">
        <f ca="1">VLOOKUP($D33,모델정보데이터!$AM$4:$BQ$398,8,0)</f>
        <v>7급</v>
      </c>
      <c r="W33" s="582" t="str">
        <f ca="1">VLOOKUP($D33,모델정보데이터!$AM$4:$BQ$398,9,0)</f>
        <v>02:울산</v>
      </c>
      <c r="X33" s="582" t="str">
        <f ca="1">VLOOKUP($D33,모델정보데이터!$AM$4:$BM$278,27,0)</f>
        <v>유림로지텍</v>
      </c>
      <c r="Y33" s="582" t="str">
        <f ca="1">VLOOKUP($D33,모델정보데이터!$AM$4:$BQ$398,11,0)</f>
        <v>D</v>
      </c>
      <c r="Z33" s="582" t="str">
        <f ca="1">VLOOKUP($D33,모델정보데이터!$AM$4:$BQ$398,18,0)</f>
        <v>공제조합</v>
      </c>
      <c r="AA33" s="582" t="str">
        <f ca="1">VLOOKUP($D33,모델정보데이터!$AM$4:$BQ$398,12,0)</f>
        <v>전략P</v>
      </c>
      <c r="AB33" s="583">
        <f ca="1">VLOOKUP($D33,모델정보데이터!$AM$4:$BQ$398,13,0)</f>
        <v>2.5000000000000001E-2</v>
      </c>
      <c r="AC33" s="582">
        <f ca="1">VLOOKUP($D33,모델정보데이터!$AM$4:$BQ$398,17,0)</f>
        <v>0</v>
      </c>
      <c r="AD33" s="582">
        <f ca="1">VLOOKUP($D33,모델정보데이터!$AM$4:$BQ$398,10,0)</f>
        <v>0</v>
      </c>
      <c r="AE33" s="582">
        <f ca="1">IFERROR(VLOOKUP(D33,모델정보데이터!$AM$3:$BD$278,27,0),0)</f>
        <v>0</v>
      </c>
      <c r="AF33" s="1134">
        <f ca="1">VLOOKUP($D33,모델정보데이터!$AM$4:$BQ$398,14,0)</f>
        <v>0</v>
      </c>
      <c r="AG33" s="260">
        <f ca="1">VLOOKUP($D33,모델정보데이터!AM:BQ,30,0)</f>
        <v>6.2E-2</v>
      </c>
      <c r="AH33" s="260">
        <f ca="1">VLOOKUP($D33,모델정보데이터!AM:BQ,31,0)</f>
        <v>5.5E-2</v>
      </c>
      <c r="AI33" s="260" t="str">
        <f ca="1">VLOOKUP($D33,모델정보데이터!AM:BQ,19,0)</f>
        <v>현대</v>
      </c>
      <c r="AJ33" s="69">
        <f ca="1">VLOOKUP($D33,모델정보데이터!AM:BQ,21,0)</f>
        <v>80000</v>
      </c>
      <c r="AK33" s="69">
        <f ca="1">VLOOKUP($D33,모델정보데이터!AM:BQ,22,0)</f>
        <v>304000</v>
      </c>
      <c r="AL33" s="69">
        <f ca="1">VLOOKUP($D33,모델정보데이터!AM:BQ,20,0)</f>
        <v>4.1000000000000002E-2</v>
      </c>
      <c r="AM33" s="69">
        <f ca="1">VLOOKUP($D33,모델정보데이터!AM:BQ,23,0)</f>
        <v>0</v>
      </c>
    </row>
    <row r="34" spans="2:39">
      <c r="B34" s="272"/>
      <c r="C34" s="1894" t="str">
        <f t="shared" ca="1" si="0"/>
        <v>싼타페 가솔린 터보 1.6 하이브리드 AWD  (5인승)</v>
      </c>
      <c r="D34" s="269" t="str">
        <f ca="1">IF(OFFSET($D$2,32,$B$2)=0,"",OFFSET($D$2,32,$B$2))</f>
        <v>싼타페 가솔린 터보 1.6 하이브리드 AWD  (5인승)</v>
      </c>
      <c r="E34" s="1385">
        <v>32</v>
      </c>
      <c r="F34" s="41" t="s">
        <v>1348</v>
      </c>
      <c r="G34" s="61" t="s">
        <v>1213</v>
      </c>
      <c r="H34" s="41" t="s">
        <v>1239</v>
      </c>
      <c r="I34" s="69"/>
      <c r="J34" s="69"/>
      <c r="K34" s="69"/>
      <c r="L34" s="271" t="s">
        <v>1118</v>
      </c>
      <c r="M34" s="41"/>
      <c r="O34" s="259">
        <f ca="1">VLOOKUP($D34,모델정보데이터!$AM$4:$BQ$398,3,0)</f>
        <v>1598</v>
      </c>
      <c r="P34" s="582" t="str">
        <f ca="1">VLOOKUP($D34,모델정보데이터!$AM$4:$BQ$398,4,0)</f>
        <v>M</v>
      </c>
      <c r="Q34" s="582">
        <f ca="1">VLOOKUP($D34,모델정보데이터!$AM$4:$BQ$398,5,0)</f>
        <v>5</v>
      </c>
      <c r="R34" s="582" t="str">
        <f ca="1">VLOOKUP($D34,모델정보데이터!$AM$4:$BQ$398,6,0)</f>
        <v>RV</v>
      </c>
      <c r="S34" s="582" t="str">
        <f ca="1">VLOOKUP($D34,모델정보데이터!$AM$4:$BQ$398,7,0)</f>
        <v>승용</v>
      </c>
      <c r="T34" s="582" t="str">
        <f ca="1">VLOOKUP($D34,모델정보데이터!$AM$4:$BQ$398,15,0)</f>
        <v>A9</v>
      </c>
      <c r="U34" s="582" t="str">
        <f ca="1">VLOOKUP($D34,모델정보데이터!$AM$4:$BQ$398,16,0)</f>
        <v>A6</v>
      </c>
      <c r="V34" s="582" t="str">
        <f ca="1">VLOOKUP($D34,모델정보데이터!$AM$4:$BQ$398,8,0)</f>
        <v>7급</v>
      </c>
      <c r="W34" s="582" t="str">
        <f ca="1">VLOOKUP($D34,모델정보데이터!$AM$4:$BQ$398,9,0)</f>
        <v>02:울산</v>
      </c>
      <c r="X34" s="582" t="str">
        <f ca="1">VLOOKUP($D34,모델정보데이터!$AM$4:$BM$278,27,0)</f>
        <v>유림로지텍</v>
      </c>
      <c r="Y34" s="582" t="str">
        <f ca="1">VLOOKUP($D34,모델정보데이터!$AM$4:$BQ$398,11,0)</f>
        <v>D</v>
      </c>
      <c r="Z34" s="582" t="str">
        <f ca="1">VLOOKUP($D34,모델정보데이터!$AM$4:$BQ$398,18,0)</f>
        <v>공제조합</v>
      </c>
      <c r="AA34" s="582" t="str">
        <f ca="1">VLOOKUP($D34,모델정보데이터!$AM$4:$BQ$398,12,0)</f>
        <v>전략P</v>
      </c>
      <c r="AB34" s="583">
        <f ca="1">VLOOKUP($D34,모델정보데이터!$AM$4:$BQ$398,13,0)</f>
        <v>2.5000000000000001E-2</v>
      </c>
      <c r="AC34" s="582">
        <f ca="1">VLOOKUP($D34,모델정보데이터!$AM$4:$BQ$398,17,0)</f>
        <v>0</v>
      </c>
      <c r="AD34" s="582">
        <f ca="1">VLOOKUP($D34,모델정보데이터!$AM$4:$BQ$398,10,0)</f>
        <v>0</v>
      </c>
      <c r="AE34" s="582">
        <f ca="1">IFERROR(VLOOKUP(D34,모델정보데이터!$AM$3:$BD$278,27,0),0)</f>
        <v>0</v>
      </c>
      <c r="AF34" s="1134">
        <f ca="1">VLOOKUP($D34,모델정보데이터!$AM$4:$BQ$398,14,0)</f>
        <v>0</v>
      </c>
      <c r="AG34" s="260">
        <f ca="1">VLOOKUP($D34,모델정보데이터!AM:BQ,30,0)</f>
        <v>6.2E-2</v>
      </c>
      <c r="AH34" s="260">
        <f ca="1">VLOOKUP($D34,모델정보데이터!AM:BQ,31,0)</f>
        <v>5.5E-2</v>
      </c>
      <c r="AI34" s="260" t="str">
        <f ca="1">VLOOKUP($D34,모델정보데이터!AM:BQ,19,0)</f>
        <v>현대</v>
      </c>
      <c r="AJ34" s="69">
        <f ca="1">VLOOKUP($D34,모델정보데이터!AM:BQ,21,0)</f>
        <v>80000</v>
      </c>
      <c r="AK34" s="69">
        <f ca="1">VLOOKUP($D34,모델정보데이터!AM:BQ,22,0)</f>
        <v>304000</v>
      </c>
      <c r="AL34" s="69">
        <f ca="1">VLOOKUP($D34,모델정보데이터!AM:BQ,20,0)</f>
        <v>4.1000000000000002E-2</v>
      </c>
      <c r="AM34" s="69">
        <f ca="1">VLOOKUP($D34,모델정보데이터!AM:BQ,23,0)</f>
        <v>0</v>
      </c>
    </row>
    <row r="35" spans="2:39" ht="13.5" thickBot="1">
      <c r="B35" s="272"/>
      <c r="C35" s="1894" t="str">
        <f t="shared" ca="1" si="0"/>
        <v>싼타페 가솔린 터보 1.6 하이브리드 AWD  (6인승)</v>
      </c>
      <c r="D35" s="269" t="str">
        <f ca="1">IF(OFFSET($D$2,33,$B$2)=0,"",OFFSET($D$2,33,$B$2))</f>
        <v>싼타페 가솔린 터보 1.6 하이브리드 AWD  (6인승)</v>
      </c>
      <c r="E35" s="1385">
        <v>33</v>
      </c>
      <c r="F35" s="41" t="s">
        <v>1349</v>
      </c>
      <c r="G35" s="61" t="s">
        <v>1214</v>
      </c>
      <c r="H35" s="41" t="s">
        <v>1240</v>
      </c>
      <c r="I35" s="69"/>
      <c r="J35" s="69"/>
      <c r="K35" s="69"/>
      <c r="L35" s="271" t="s">
        <v>1119</v>
      </c>
      <c r="M35" s="1390"/>
      <c r="O35" s="259">
        <f ca="1">VLOOKUP($D35,모델정보데이터!$AM$4:$BQ$398,3,0)</f>
        <v>1598</v>
      </c>
      <c r="P35" s="582" t="str">
        <f ca="1">VLOOKUP($D35,모델정보데이터!$AM$4:$BQ$398,4,0)</f>
        <v>M</v>
      </c>
      <c r="Q35" s="582">
        <f ca="1">VLOOKUP($D35,모델정보데이터!$AM$4:$BQ$398,5,0)</f>
        <v>6</v>
      </c>
      <c r="R35" s="582" t="str">
        <f ca="1">VLOOKUP($D35,모델정보데이터!$AM$4:$BQ$398,6,0)</f>
        <v>RV</v>
      </c>
      <c r="S35" s="582" t="str">
        <f ca="1">VLOOKUP($D35,모델정보데이터!$AM$4:$BQ$398,7,0)</f>
        <v>승용</v>
      </c>
      <c r="T35" s="582" t="str">
        <f ca="1">VLOOKUP($D35,모델정보데이터!$AM$4:$BQ$398,15,0)</f>
        <v>A9</v>
      </c>
      <c r="U35" s="582" t="str">
        <f ca="1">VLOOKUP($D35,모델정보데이터!$AM$4:$BQ$398,16,0)</f>
        <v>A6</v>
      </c>
      <c r="V35" s="582" t="str">
        <f ca="1">VLOOKUP($D35,모델정보데이터!$AM$4:$BQ$398,8,0)</f>
        <v>7급</v>
      </c>
      <c r="W35" s="582" t="str">
        <f ca="1">VLOOKUP($D35,모델정보데이터!$AM$4:$BQ$398,9,0)</f>
        <v>02:울산</v>
      </c>
      <c r="X35" s="582" t="str">
        <f ca="1">VLOOKUP($D35,모델정보데이터!$AM$4:$BM$278,27,0)</f>
        <v>유림로지텍</v>
      </c>
      <c r="Y35" s="582" t="str">
        <f ca="1">VLOOKUP($D35,모델정보데이터!$AM$4:$BQ$398,11,0)</f>
        <v>D</v>
      </c>
      <c r="Z35" s="582" t="str">
        <f ca="1">VLOOKUP($D35,모델정보데이터!$AM$4:$BQ$398,18,0)</f>
        <v>공제조합</v>
      </c>
      <c r="AA35" s="582" t="str">
        <f ca="1">VLOOKUP($D35,모델정보데이터!$AM$4:$BQ$398,12,0)</f>
        <v>전략P</v>
      </c>
      <c r="AB35" s="583">
        <f ca="1">VLOOKUP($D35,모델정보데이터!$AM$4:$BQ$398,13,0)</f>
        <v>2.5000000000000001E-2</v>
      </c>
      <c r="AC35" s="582">
        <f ca="1">VLOOKUP($D35,모델정보데이터!$AM$4:$BQ$398,17,0)</f>
        <v>0</v>
      </c>
      <c r="AD35" s="582">
        <f ca="1">VLOOKUP($D35,모델정보데이터!$AM$4:$BQ$398,10,0)</f>
        <v>0</v>
      </c>
      <c r="AE35" s="582">
        <f ca="1">IFERROR(VLOOKUP(D35,모델정보데이터!$AM$3:$BD$278,27,0),0)</f>
        <v>0</v>
      </c>
      <c r="AF35" s="1134">
        <f ca="1">VLOOKUP($D35,모델정보데이터!$AM$4:$BQ$398,14,0)</f>
        <v>0</v>
      </c>
      <c r="AG35" s="260">
        <f ca="1">VLOOKUP($D35,모델정보데이터!AM:BQ,30,0)</f>
        <v>6.2E-2</v>
      </c>
      <c r="AH35" s="260">
        <f ca="1">VLOOKUP($D35,모델정보데이터!AM:BQ,31,0)</f>
        <v>5.5E-2</v>
      </c>
      <c r="AI35" s="260" t="str">
        <f ca="1">VLOOKUP($D35,모델정보데이터!AM:BQ,19,0)</f>
        <v>현대</v>
      </c>
      <c r="AJ35" s="69">
        <f ca="1">VLOOKUP($D35,모델정보데이터!AM:BQ,21,0)</f>
        <v>80000</v>
      </c>
      <c r="AK35" s="69">
        <f ca="1">VLOOKUP($D35,모델정보데이터!AM:BQ,22,0)</f>
        <v>304000</v>
      </c>
      <c r="AL35" s="69">
        <f ca="1">VLOOKUP($D35,모델정보데이터!AM:BQ,20,0)</f>
        <v>4.1000000000000002E-2</v>
      </c>
      <c r="AM35" s="69">
        <f ca="1">VLOOKUP($D35,모델정보데이터!AM:BQ,23,0)</f>
        <v>0</v>
      </c>
    </row>
    <row r="36" spans="2:39">
      <c r="B36" s="272"/>
      <c r="C36" s="1894" t="str">
        <f t="shared" ca="1" si="0"/>
        <v>싼타페 가솔린 터보 1.6 하이브리드 AWD  (7인승)</v>
      </c>
      <c r="D36" s="269" t="str">
        <f ca="1">IF(OFFSET($D$2,34,$B$2)=0,"",OFFSET($D$2,34,$B$2))</f>
        <v>싼타페 가솔린 터보 1.6 하이브리드 AWD  (7인승)</v>
      </c>
      <c r="E36" s="1385">
        <v>34</v>
      </c>
      <c r="F36" s="41" t="s">
        <v>1350</v>
      </c>
      <c r="G36" s="61" t="s">
        <v>1215</v>
      </c>
      <c r="H36" s="41" t="s">
        <v>1241</v>
      </c>
      <c r="I36" s="69"/>
      <c r="J36" s="69"/>
      <c r="K36" s="69"/>
      <c r="L36" s="482" t="s">
        <v>1120</v>
      </c>
      <c r="O36" s="259">
        <f ca="1">VLOOKUP($D36,모델정보데이터!$AM$4:$BQ$398,3,0)</f>
        <v>1598</v>
      </c>
      <c r="P36" s="582" t="str">
        <f ca="1">VLOOKUP($D36,모델정보데이터!$AM$4:$BQ$398,4,0)</f>
        <v>M</v>
      </c>
      <c r="Q36" s="582">
        <f ca="1">VLOOKUP($D36,모델정보데이터!$AM$4:$BQ$398,5,0)</f>
        <v>7</v>
      </c>
      <c r="R36" s="582" t="str">
        <f ca="1">VLOOKUP($D36,모델정보데이터!$AM$4:$BQ$398,6,0)</f>
        <v>RV</v>
      </c>
      <c r="S36" s="582" t="str">
        <f ca="1">VLOOKUP($D36,모델정보데이터!$AM$4:$BQ$398,7,0)</f>
        <v>다인승</v>
      </c>
      <c r="T36" s="582" t="str">
        <f ca="1">VLOOKUP($D36,모델정보데이터!$AM$4:$BQ$398,15,0)</f>
        <v>A9</v>
      </c>
      <c r="U36" s="582" t="str">
        <f ca="1">VLOOKUP($D36,모델정보데이터!$AM$4:$BQ$398,16,0)</f>
        <v>A6</v>
      </c>
      <c r="V36" s="582" t="str">
        <f ca="1">VLOOKUP($D36,모델정보데이터!$AM$4:$BQ$398,8,0)</f>
        <v>7급</v>
      </c>
      <c r="W36" s="582" t="str">
        <f ca="1">VLOOKUP($D36,모델정보데이터!$AM$4:$BQ$398,9,0)</f>
        <v>02:울산</v>
      </c>
      <c r="X36" s="582" t="str">
        <f ca="1">VLOOKUP($D36,모델정보데이터!$AM$4:$BM$278,27,0)</f>
        <v>유림로지텍</v>
      </c>
      <c r="Y36" s="582" t="str">
        <f ca="1">VLOOKUP($D36,모델정보데이터!$AM$4:$BQ$398,11,0)</f>
        <v>D</v>
      </c>
      <c r="Z36" s="582" t="str">
        <f ca="1">VLOOKUP($D36,모델정보데이터!$AM$4:$BQ$398,18,0)</f>
        <v>공제조합</v>
      </c>
      <c r="AA36" s="582" t="str">
        <f ca="1">VLOOKUP($D36,모델정보데이터!$AM$4:$BQ$398,12,0)</f>
        <v>전략P</v>
      </c>
      <c r="AB36" s="583">
        <f ca="1">VLOOKUP($D36,모델정보데이터!$AM$4:$BQ$398,13,0)</f>
        <v>2.5000000000000001E-2</v>
      </c>
      <c r="AC36" s="582">
        <f ca="1">VLOOKUP($D36,모델정보데이터!$AM$4:$BQ$398,17,0)</f>
        <v>0</v>
      </c>
      <c r="AD36" s="582">
        <f ca="1">VLOOKUP($D36,모델정보데이터!$AM$4:$BQ$398,10,0)</f>
        <v>0</v>
      </c>
      <c r="AE36" s="582">
        <f ca="1">IFERROR(VLOOKUP(D36,모델정보데이터!$AM$3:$BD$278,27,0),0)</f>
        <v>0</v>
      </c>
      <c r="AF36" s="1134">
        <f ca="1">VLOOKUP($D36,모델정보데이터!$AM$4:$BQ$398,14,0)</f>
        <v>0</v>
      </c>
      <c r="AG36" s="260">
        <f ca="1">VLOOKUP($D36,모델정보데이터!AM:BQ,30,0)</f>
        <v>6.2E-2</v>
      </c>
      <c r="AH36" s="260">
        <f ca="1">VLOOKUP($D36,모델정보데이터!AM:BQ,31,0)</f>
        <v>5.5E-2</v>
      </c>
      <c r="AI36" s="260" t="str">
        <f ca="1">VLOOKUP($D36,모델정보데이터!AM:BQ,19,0)</f>
        <v>현대</v>
      </c>
      <c r="AJ36" s="69">
        <f ca="1">VLOOKUP($D36,모델정보데이터!AM:BQ,21,0)</f>
        <v>80000</v>
      </c>
      <c r="AK36" s="69">
        <f ca="1">VLOOKUP($D36,모델정보데이터!AM:BQ,22,0)</f>
        <v>304000</v>
      </c>
      <c r="AL36" s="69">
        <f ca="1">VLOOKUP($D36,모델정보데이터!AM:BQ,20,0)</f>
        <v>4.1000000000000002E-2</v>
      </c>
      <c r="AM36" s="69">
        <f ca="1">VLOOKUP($D36,모델정보데이터!AM:BQ,23,0)</f>
        <v>0</v>
      </c>
    </row>
    <row r="37" spans="2:39">
      <c r="B37" s="272"/>
      <c r="C37" s="1894" t="str">
        <f t="shared" ca="1" si="0"/>
        <v>—————————◆팰리세이드◆————————————————</v>
      </c>
      <c r="D37" s="269" t="str">
        <f ca="1">IF(OFFSET($D$2,35,$B$2)=0,"",OFFSET($D$2,35,$B$2))</f>
        <v>—————————◆팰리세이드◆————————————————</v>
      </c>
      <c r="E37" s="1385">
        <v>35</v>
      </c>
      <c r="F37" s="41" t="s">
        <v>972</v>
      </c>
      <c r="G37" s="61" t="s">
        <v>1823</v>
      </c>
      <c r="H37" s="41" t="s">
        <v>1242</v>
      </c>
      <c r="I37" s="69"/>
      <c r="J37" s="69"/>
      <c r="K37" s="69"/>
      <c r="L37" s="482" t="s">
        <v>1121</v>
      </c>
      <c r="M37" s="589"/>
      <c r="O37" s="259" t="e">
        <f ca="1">VLOOKUP($D37,모델정보데이터!$AM$4:$BQ$398,3,0)</f>
        <v>#N/A</v>
      </c>
      <c r="P37" s="582" t="e">
        <f ca="1">VLOOKUP($D37,모델정보데이터!$AM$4:$BQ$398,4,0)</f>
        <v>#N/A</v>
      </c>
      <c r="Q37" s="582" t="e">
        <f ca="1">VLOOKUP($D37,모델정보데이터!$AM$4:$BQ$398,5,0)</f>
        <v>#N/A</v>
      </c>
      <c r="R37" s="582" t="e">
        <f ca="1">VLOOKUP($D37,모델정보데이터!$AM$4:$BQ$398,6,0)</f>
        <v>#N/A</v>
      </c>
      <c r="S37" s="582" t="e">
        <f ca="1">VLOOKUP($D37,모델정보데이터!$AM$4:$BQ$398,7,0)</f>
        <v>#N/A</v>
      </c>
      <c r="T37" s="582" t="e">
        <f ca="1">VLOOKUP($D37,모델정보데이터!$AM$4:$BQ$398,15,0)</f>
        <v>#N/A</v>
      </c>
      <c r="U37" s="582" t="e">
        <f ca="1">VLOOKUP($D37,모델정보데이터!$AM$4:$BQ$398,16,0)</f>
        <v>#N/A</v>
      </c>
      <c r="V37" s="582" t="e">
        <f ca="1">VLOOKUP($D37,모델정보데이터!$AM$4:$BQ$398,8,0)</f>
        <v>#N/A</v>
      </c>
      <c r="W37" s="582" t="e">
        <f ca="1">VLOOKUP($D37,모델정보데이터!$AM$4:$BQ$398,9,0)</f>
        <v>#N/A</v>
      </c>
      <c r="X37" s="582" t="e">
        <f ca="1">VLOOKUP($D37,모델정보데이터!$AM$4:$BM$278,27,0)</f>
        <v>#N/A</v>
      </c>
      <c r="Y37" s="582" t="e">
        <f ca="1">VLOOKUP($D37,모델정보데이터!$AM$4:$BQ$398,11,0)</f>
        <v>#N/A</v>
      </c>
      <c r="Z37" s="582" t="e">
        <f ca="1">VLOOKUP($D37,모델정보데이터!$AM$4:$BQ$398,18,0)</f>
        <v>#N/A</v>
      </c>
      <c r="AA37" s="582" t="e">
        <f ca="1">VLOOKUP($D37,모델정보데이터!$AM$4:$BQ$398,12,0)</f>
        <v>#N/A</v>
      </c>
      <c r="AB37" s="583" t="e">
        <f ca="1">VLOOKUP($D37,모델정보데이터!$AM$4:$BQ$398,13,0)</f>
        <v>#N/A</v>
      </c>
      <c r="AC37" s="582" t="e">
        <f ca="1">VLOOKUP($D37,모델정보데이터!$AM$4:$BQ$398,17,0)</f>
        <v>#N/A</v>
      </c>
      <c r="AD37" s="582" t="e">
        <f ca="1">VLOOKUP($D37,모델정보데이터!$AM$4:$BQ$398,10,0)</f>
        <v>#N/A</v>
      </c>
      <c r="AE37" s="582">
        <f ca="1">IFERROR(VLOOKUP(D37,모델정보데이터!$AM$3:$BD$278,27,0),0)</f>
        <v>0</v>
      </c>
      <c r="AF37" s="1134" t="e">
        <f ca="1">VLOOKUP($D37,모델정보데이터!$AM$4:$BQ$398,14,0)</f>
        <v>#N/A</v>
      </c>
      <c r="AG37" s="260" t="e">
        <f ca="1">VLOOKUP($D37,모델정보데이터!AM:BQ,30,0)</f>
        <v>#N/A</v>
      </c>
      <c r="AH37" s="260" t="e">
        <f ca="1">VLOOKUP($D37,모델정보데이터!AM:BQ,31,0)</f>
        <v>#N/A</v>
      </c>
      <c r="AI37" s="260" t="e">
        <f ca="1">VLOOKUP($D37,모델정보데이터!AM:BQ,19,0)</f>
        <v>#N/A</v>
      </c>
      <c r="AJ37" s="69" t="e">
        <f ca="1">VLOOKUP($D37,모델정보데이터!AM:BQ,21,0)</f>
        <v>#N/A</v>
      </c>
      <c r="AK37" s="69" t="e">
        <f ca="1">VLOOKUP($D37,모델정보데이터!AM:BQ,22,0)</f>
        <v>#N/A</v>
      </c>
      <c r="AL37" s="69" t="e">
        <f ca="1">VLOOKUP($D37,모델정보데이터!AM:BQ,20,0)</f>
        <v>#N/A</v>
      </c>
      <c r="AM37" s="69" t="e">
        <f ca="1">VLOOKUP($D37,모델정보데이터!AM:BQ,23,0)</f>
        <v>#N/A</v>
      </c>
    </row>
    <row r="38" spans="2:39">
      <c r="B38" s="272"/>
      <c r="C38" s="1894" t="str">
        <f t="shared" ca="1" si="0"/>
        <v>디 올 뉴 팰리세이드 2025년형 가솔린 터보 2.5 (9인승) 2WD</v>
      </c>
      <c r="D38" s="269" t="str">
        <f ca="1">IF(OFFSET($D$2,36,$B$2)=0,"",OFFSET($D$2,36,$B$2))</f>
        <v>디 올 뉴 팰리세이드 2025년형 가솔린 터보 2.5 (9인승) 2WD</v>
      </c>
      <c r="E38" s="1385">
        <v>36</v>
      </c>
      <c r="F38" s="1389" t="s">
        <v>1933</v>
      </c>
      <c r="G38" s="61" t="s">
        <v>1824</v>
      </c>
      <c r="H38" s="41" t="s">
        <v>1243</v>
      </c>
      <c r="I38" s="69"/>
      <c r="J38" s="69"/>
      <c r="K38" s="69"/>
      <c r="L38" s="482" t="s">
        <v>1122</v>
      </c>
      <c r="M38" s="589"/>
      <c r="O38" s="259">
        <f ca="1">VLOOKUP($D38,모델정보데이터!$AM$4:$BQ$398,3,0)</f>
        <v>2497</v>
      </c>
      <c r="P38" s="582" t="str">
        <f ca="1">VLOOKUP($D38,모델정보데이터!$AM$4:$BQ$398,4,0)</f>
        <v>M</v>
      </c>
      <c r="Q38" s="582">
        <f ca="1">VLOOKUP($D38,모델정보데이터!$AM$4:$BQ$398,5,0)</f>
        <v>9</v>
      </c>
      <c r="R38" s="582" t="str">
        <f ca="1">VLOOKUP($D38,모델정보데이터!$AM$4:$BQ$398,6,0)</f>
        <v>RV</v>
      </c>
      <c r="S38" s="582" t="str">
        <f ca="1">VLOOKUP($D38,모델정보데이터!$AM$4:$BQ$398,7,0)</f>
        <v>다인승</v>
      </c>
      <c r="T38" s="582" t="str">
        <f ca="1">VLOOKUP($D38,모델정보데이터!$AM$4:$BQ$398,15,0)</f>
        <v>A8</v>
      </c>
      <c r="U38" s="582" t="str">
        <f ca="1">VLOOKUP($D38,모델정보데이터!$AM$4:$BQ$398,16,0)</f>
        <v>A10</v>
      </c>
      <c r="V38" s="582" t="str">
        <f ca="1">VLOOKUP($D38,모델정보데이터!$AM$4:$BQ$398,8,0)</f>
        <v>7급</v>
      </c>
      <c r="W38" s="582" t="str">
        <f ca="1">VLOOKUP($D38,모델정보데이터!$AM$4:$BQ$398,9,0)</f>
        <v>02:울산</v>
      </c>
      <c r="X38" s="582" t="str">
        <f ca="1">VLOOKUP($D38,모델정보데이터!$AM$4:$BM$278,27,0)</f>
        <v>유림로지텍</v>
      </c>
      <c r="Y38" s="582" t="str">
        <f ca="1">VLOOKUP($D38,모델정보데이터!$AM$4:$BQ$398,11,0)</f>
        <v>D</v>
      </c>
      <c r="Z38" s="582" t="str">
        <f ca="1">VLOOKUP($D38,모델정보데이터!$AM$4:$BQ$398,18,0)</f>
        <v>공제조합</v>
      </c>
      <c r="AA38" s="582" t="str">
        <f ca="1">VLOOKUP($D38,모델정보데이터!$AM$4:$BQ$398,12,0)</f>
        <v>전략P</v>
      </c>
      <c r="AB38" s="583">
        <f ca="1">VLOOKUP($D38,모델정보데이터!$AM$4:$BQ$398,13,0)</f>
        <v>1.4999999999999999E-2</v>
      </c>
      <c r="AC38" s="582">
        <f ca="1">VLOOKUP($D38,모델정보데이터!$AM$4:$BQ$398,17,0)</f>
        <v>0</v>
      </c>
      <c r="AD38" s="582">
        <f ca="1">VLOOKUP($D38,모델정보데이터!$AM$4:$BQ$398,10,0)</f>
        <v>0</v>
      </c>
      <c r="AE38" s="582">
        <f ca="1">IFERROR(VLOOKUP(D38,모델정보데이터!$AM$3:$BD$278,27,0),0)</f>
        <v>0</v>
      </c>
      <c r="AF38" s="1134">
        <f ca="1">VLOOKUP($D38,모델정보데이터!$AM$4:$BQ$398,14,0)</f>
        <v>0</v>
      </c>
      <c r="AG38" s="260">
        <f ca="1">VLOOKUP($D38,모델정보데이터!AM:BQ,30,0)</f>
        <v>6.2E-2</v>
      </c>
      <c r="AH38" s="260">
        <f ca="1">VLOOKUP($D38,모델정보데이터!AM:BQ,31,0)</f>
        <v>5.5E-2</v>
      </c>
      <c r="AI38" s="260" t="str">
        <f ca="1">VLOOKUP($D38,모델정보데이터!AM:BQ,19,0)</f>
        <v>현대</v>
      </c>
      <c r="AJ38" s="69">
        <f ca="1">VLOOKUP($D38,모델정보데이터!AM:BQ,21,0)</f>
        <v>81000</v>
      </c>
      <c r="AK38" s="69">
        <f ca="1">VLOOKUP($D38,모델정보데이터!AM:BQ,22,0)</f>
        <v>291000</v>
      </c>
      <c r="AL38" s="69">
        <f ca="1">VLOOKUP($D38,모델정보데이터!AM:BQ,20,0)</f>
        <v>4.1000000000000002E-2</v>
      </c>
      <c r="AM38" s="69">
        <f ca="1">VLOOKUP($D38,모델정보데이터!AM:BQ,23,0)</f>
        <v>0</v>
      </c>
    </row>
    <row r="39" spans="2:39">
      <c r="B39" s="272"/>
      <c r="C39" s="1894" t="str">
        <f t="shared" ca="1" si="0"/>
        <v>디 올 뉴 팰리세이드 2025년형 가솔린 터보 2.5 (9인승) 4WD</v>
      </c>
      <c r="D39" s="269" t="str">
        <f ca="1">IF(OFFSET($D$2,37,$B$2)=0,"",OFFSET($D$2,37,$B$2))</f>
        <v>디 올 뉴 팰리세이드 2025년형 가솔린 터보 2.5 (9인승) 4WD</v>
      </c>
      <c r="E39" s="1385">
        <v>37</v>
      </c>
      <c r="F39" s="1389" t="s">
        <v>1934</v>
      </c>
      <c r="G39" s="61" t="s">
        <v>1825</v>
      </c>
      <c r="H39" s="41" t="s">
        <v>1244</v>
      </c>
      <c r="I39" s="69"/>
      <c r="J39" s="69"/>
      <c r="K39" s="69"/>
      <c r="L39" s="482" t="s">
        <v>1123</v>
      </c>
      <c r="O39" s="259">
        <f ca="1">VLOOKUP($D39,모델정보데이터!$AM$4:$BQ$398,3,0)</f>
        <v>2497</v>
      </c>
      <c r="P39" s="582" t="str">
        <f ca="1">VLOOKUP($D39,모델정보데이터!$AM$4:$BQ$398,4,0)</f>
        <v>M</v>
      </c>
      <c r="Q39" s="582">
        <f ca="1">VLOOKUP($D39,모델정보데이터!$AM$4:$BQ$398,5,0)</f>
        <v>9</v>
      </c>
      <c r="R39" s="582" t="str">
        <f ca="1">VLOOKUP($D39,모델정보데이터!$AM$4:$BQ$398,6,0)</f>
        <v>RV</v>
      </c>
      <c r="S39" s="582" t="str">
        <f ca="1">VLOOKUP($D39,모델정보데이터!$AM$4:$BQ$398,7,0)</f>
        <v>다인승</v>
      </c>
      <c r="T39" s="582" t="str">
        <f ca="1">VLOOKUP($D39,모델정보데이터!$AM$4:$BQ$398,15,0)</f>
        <v>A8</v>
      </c>
      <c r="U39" s="582" t="str">
        <f ca="1">VLOOKUP($D39,모델정보데이터!$AM$4:$BQ$398,16,0)</f>
        <v>A10</v>
      </c>
      <c r="V39" s="582" t="str">
        <f ca="1">VLOOKUP($D39,모델정보데이터!$AM$4:$BQ$398,8,0)</f>
        <v>7급</v>
      </c>
      <c r="W39" s="582" t="str">
        <f ca="1">VLOOKUP($D39,모델정보데이터!$AM$4:$BQ$398,9,0)</f>
        <v>02:울산</v>
      </c>
      <c r="X39" s="582" t="str">
        <f ca="1">VLOOKUP($D39,모델정보데이터!$AM$4:$BM$278,27,0)</f>
        <v>유림로지텍</v>
      </c>
      <c r="Y39" s="582" t="str">
        <f ca="1">VLOOKUP($D39,모델정보데이터!$AM$4:$BQ$398,11,0)</f>
        <v>D</v>
      </c>
      <c r="Z39" s="582" t="str">
        <f ca="1">VLOOKUP($D39,모델정보데이터!$AM$4:$BQ$398,18,0)</f>
        <v>공제조합</v>
      </c>
      <c r="AA39" s="582" t="str">
        <f ca="1">VLOOKUP($D39,모델정보데이터!$AM$4:$BQ$398,12,0)</f>
        <v>전략P</v>
      </c>
      <c r="AB39" s="583">
        <f ca="1">VLOOKUP($D39,모델정보데이터!$AM$4:$BQ$398,13,0)</f>
        <v>1.4999999999999999E-2</v>
      </c>
      <c r="AC39" s="582">
        <f ca="1">VLOOKUP($D39,모델정보데이터!$AM$4:$BQ$398,17,0)</f>
        <v>0</v>
      </c>
      <c r="AD39" s="582">
        <f ca="1">VLOOKUP($D39,모델정보데이터!$AM$4:$BQ$398,10,0)</f>
        <v>0</v>
      </c>
      <c r="AE39" s="582">
        <f ca="1">IFERROR(VLOOKUP(D39,모델정보데이터!$AM$3:$BD$278,27,0),0)</f>
        <v>0</v>
      </c>
      <c r="AF39" s="1134">
        <f ca="1">VLOOKUP($D39,모델정보데이터!$AM$4:$BQ$398,14,0)</f>
        <v>0</v>
      </c>
      <c r="AG39" s="260">
        <f ca="1">VLOOKUP($D39,모델정보데이터!AM:BQ,30,0)</f>
        <v>6.2E-2</v>
      </c>
      <c r="AH39" s="260">
        <f ca="1">VLOOKUP($D39,모델정보데이터!AM:BQ,31,0)</f>
        <v>5.5E-2</v>
      </c>
      <c r="AI39" s="260" t="str">
        <f ca="1">VLOOKUP($D39,모델정보데이터!AM:BQ,19,0)</f>
        <v>현대</v>
      </c>
      <c r="AJ39" s="69">
        <f ca="1">VLOOKUP($D39,모델정보데이터!AM:BQ,21,0)</f>
        <v>81000</v>
      </c>
      <c r="AK39" s="69">
        <f ca="1">VLOOKUP($D39,모델정보데이터!AM:BQ,22,0)</f>
        <v>291000</v>
      </c>
      <c r="AL39" s="69">
        <f ca="1">VLOOKUP($D39,모델정보데이터!AM:BQ,20,0)</f>
        <v>4.1000000000000002E-2</v>
      </c>
      <c r="AM39" s="69">
        <f ca="1">VLOOKUP($D39,모델정보데이터!AM:BQ,23,0)</f>
        <v>0</v>
      </c>
    </row>
    <row r="40" spans="2:39">
      <c r="B40" s="272"/>
      <c r="C40" s="1894" t="str">
        <f t="shared" ca="1" si="0"/>
        <v>디 올 뉴 팰리세이드 2025년형 가솔린 터보 2.5 (7인승) 2WD</v>
      </c>
      <c r="D40" s="269" t="str">
        <f ca="1">IF(OFFSET($D$2,38,$B$2)=0,"",OFFSET($D$2,38,$B$2))</f>
        <v>디 올 뉴 팰리세이드 2025년형 가솔린 터보 2.5 (7인승) 2WD</v>
      </c>
      <c r="E40" s="1385">
        <v>38</v>
      </c>
      <c r="F40" s="1389" t="s">
        <v>1935</v>
      </c>
      <c r="G40" s="61" t="s">
        <v>1216</v>
      </c>
      <c r="H40" s="41" t="s">
        <v>1179</v>
      </c>
      <c r="I40" s="69"/>
      <c r="J40" s="69"/>
      <c r="K40" s="69"/>
      <c r="L40" s="41" t="s">
        <v>1194</v>
      </c>
      <c r="O40" s="259">
        <f ca="1">VLOOKUP($D40,모델정보데이터!$AM$4:$BQ$398,3,0)</f>
        <v>2497</v>
      </c>
      <c r="P40" s="582" t="str">
        <f ca="1">VLOOKUP($D40,모델정보데이터!$AM$4:$BQ$398,4,0)</f>
        <v>M</v>
      </c>
      <c r="Q40" s="582">
        <f ca="1">VLOOKUP($D40,모델정보데이터!$AM$4:$BQ$398,5,0)</f>
        <v>7</v>
      </c>
      <c r="R40" s="582" t="str">
        <f ca="1">VLOOKUP($D40,모델정보데이터!$AM$4:$BQ$398,6,0)</f>
        <v>RV</v>
      </c>
      <c r="S40" s="582" t="str">
        <f ca="1">VLOOKUP($D40,모델정보데이터!$AM$4:$BQ$398,7,0)</f>
        <v>다인승</v>
      </c>
      <c r="T40" s="582" t="str">
        <f ca="1">VLOOKUP($D40,모델정보데이터!$AM$4:$BQ$398,15,0)</f>
        <v>A8</v>
      </c>
      <c r="U40" s="582" t="str">
        <f ca="1">VLOOKUP($D40,모델정보데이터!$AM$4:$BQ$398,16,0)</f>
        <v>A10</v>
      </c>
      <c r="V40" s="582" t="str">
        <f ca="1">VLOOKUP($D40,모델정보데이터!$AM$4:$BQ$398,8,0)</f>
        <v>7급</v>
      </c>
      <c r="W40" s="582" t="str">
        <f ca="1">VLOOKUP($D40,모델정보데이터!$AM$4:$BQ$398,9,0)</f>
        <v>02:울산</v>
      </c>
      <c r="X40" s="582" t="str">
        <f ca="1">VLOOKUP($D40,모델정보데이터!$AM$4:$BM$278,27,0)</f>
        <v>유림로지텍</v>
      </c>
      <c r="Y40" s="582" t="str">
        <f ca="1">VLOOKUP($D40,모델정보데이터!$AM$4:$BQ$398,11,0)</f>
        <v>D</v>
      </c>
      <c r="Z40" s="582" t="str">
        <f ca="1">VLOOKUP($D40,모델정보데이터!$AM$4:$BQ$398,18,0)</f>
        <v>공제조합</v>
      </c>
      <c r="AA40" s="582" t="str">
        <f ca="1">VLOOKUP($D40,모델정보데이터!$AM$4:$BQ$398,12,0)</f>
        <v>전략P</v>
      </c>
      <c r="AB40" s="583">
        <f ca="1">VLOOKUP($D40,모델정보데이터!$AM$4:$BQ$398,13,0)</f>
        <v>1.4999999999999999E-2</v>
      </c>
      <c r="AC40" s="582">
        <f ca="1">VLOOKUP($D40,모델정보데이터!$AM$4:$BQ$398,17,0)</f>
        <v>0</v>
      </c>
      <c r="AD40" s="582">
        <f ca="1">VLOOKUP($D40,모델정보데이터!$AM$4:$BQ$398,10,0)</f>
        <v>0</v>
      </c>
      <c r="AE40" s="582">
        <f ca="1">IFERROR(VLOOKUP(D40,모델정보데이터!$AM$3:$BD$278,27,0),0)</f>
        <v>0</v>
      </c>
      <c r="AF40" s="1134">
        <f ca="1">VLOOKUP($D40,모델정보데이터!$AM$4:$BQ$398,14,0)</f>
        <v>0</v>
      </c>
      <c r="AG40" s="260">
        <f ca="1">VLOOKUP($D40,모델정보데이터!AM:BQ,30,0)</f>
        <v>6.2E-2</v>
      </c>
      <c r="AH40" s="260">
        <f ca="1">VLOOKUP($D40,모델정보데이터!AM:BQ,31,0)</f>
        <v>5.5E-2</v>
      </c>
      <c r="AI40" s="260" t="str">
        <f ca="1">VLOOKUP($D40,모델정보데이터!AM:BQ,19,0)</f>
        <v>현대</v>
      </c>
      <c r="AJ40" s="69">
        <f ca="1">VLOOKUP($D40,모델정보데이터!AM:BQ,21,0)</f>
        <v>81000</v>
      </c>
      <c r="AK40" s="69">
        <f ca="1">VLOOKUP($D40,모델정보데이터!AM:BQ,22,0)</f>
        <v>291000</v>
      </c>
      <c r="AL40" s="69">
        <f ca="1">VLOOKUP($D40,모델정보데이터!AM:BQ,20,0)</f>
        <v>4.1000000000000002E-2</v>
      </c>
      <c r="AM40" s="69">
        <f ca="1">VLOOKUP($D40,모델정보데이터!AM:BQ,23,0)</f>
        <v>0</v>
      </c>
    </row>
    <row r="41" spans="2:39">
      <c r="B41" s="272"/>
      <c r="C41" s="1894" t="str">
        <f t="shared" ca="1" si="0"/>
        <v>디 올 뉴 팰리세이드 2025년형 가솔린 터보 2.5 (7인승) 4WD</v>
      </c>
      <c r="D41" s="269" t="str">
        <f ca="1">IF(OFFSET($D$2,39,$B$2)=0,"",OFFSET($D$2,39,$B$2))</f>
        <v>디 올 뉴 팰리세이드 2025년형 가솔린 터보 2.5 (7인승) 4WD</v>
      </c>
      <c r="E41" s="1385">
        <v>39</v>
      </c>
      <c r="F41" s="1389" t="s">
        <v>1936</v>
      </c>
      <c r="G41" s="61" t="s">
        <v>1838</v>
      </c>
      <c r="H41" s="41" t="s">
        <v>1388</v>
      </c>
      <c r="I41" s="69"/>
      <c r="J41" s="69"/>
      <c r="K41" s="69"/>
      <c r="L41" s="482" t="s">
        <v>1536</v>
      </c>
      <c r="O41" s="259">
        <f ca="1">VLOOKUP($D41,모델정보데이터!$AM$4:$BQ$398,3,0)</f>
        <v>2497</v>
      </c>
      <c r="P41" s="582" t="str">
        <f ca="1">VLOOKUP($D41,모델정보데이터!$AM$4:$BQ$398,4,0)</f>
        <v>M</v>
      </c>
      <c r="Q41" s="582">
        <f ca="1">VLOOKUP($D41,모델정보데이터!$AM$4:$BQ$398,5,0)</f>
        <v>7</v>
      </c>
      <c r="R41" s="582" t="str">
        <f ca="1">VLOOKUP($D41,모델정보데이터!$AM$4:$BQ$398,6,0)</f>
        <v>RV</v>
      </c>
      <c r="S41" s="582" t="str">
        <f ca="1">VLOOKUP($D41,모델정보데이터!$AM$4:$BQ$398,7,0)</f>
        <v>다인승</v>
      </c>
      <c r="T41" s="582" t="str">
        <f ca="1">VLOOKUP($D41,모델정보데이터!$AM$4:$BQ$398,15,0)</f>
        <v>A8</v>
      </c>
      <c r="U41" s="582" t="str">
        <f ca="1">VLOOKUP($D41,모델정보데이터!$AM$4:$BQ$398,16,0)</f>
        <v>A10</v>
      </c>
      <c r="V41" s="582" t="str">
        <f ca="1">VLOOKUP($D41,모델정보데이터!$AM$4:$BQ$398,8,0)</f>
        <v>7급</v>
      </c>
      <c r="W41" s="582" t="str">
        <f ca="1">VLOOKUP($D41,모델정보데이터!$AM$4:$BQ$398,9,0)</f>
        <v>02:울산</v>
      </c>
      <c r="X41" s="582" t="str">
        <f ca="1">VLOOKUP($D41,모델정보데이터!$AM$4:$BM$278,27,0)</f>
        <v>유림로지텍</v>
      </c>
      <c r="Y41" s="582" t="str">
        <f ca="1">VLOOKUP($D41,모델정보데이터!$AM$4:$BQ$398,11,0)</f>
        <v>D</v>
      </c>
      <c r="Z41" s="582" t="str">
        <f ca="1">VLOOKUP($D41,모델정보데이터!$AM$4:$BQ$398,18,0)</f>
        <v>공제조합</v>
      </c>
      <c r="AA41" s="582" t="str">
        <f ca="1">VLOOKUP($D41,모델정보데이터!$AM$4:$BQ$398,12,0)</f>
        <v>전략P</v>
      </c>
      <c r="AB41" s="583">
        <f ca="1">VLOOKUP($D41,모델정보데이터!$AM$4:$BQ$398,13,0)</f>
        <v>1.4999999999999999E-2</v>
      </c>
      <c r="AC41" s="582">
        <f ca="1">VLOOKUP($D41,모델정보데이터!$AM$4:$BQ$398,17,0)</f>
        <v>0</v>
      </c>
      <c r="AD41" s="582">
        <f ca="1">VLOOKUP($D41,모델정보데이터!$AM$4:$BQ$398,10,0)</f>
        <v>0</v>
      </c>
      <c r="AE41" s="582">
        <f ca="1">IFERROR(VLOOKUP(D41,모델정보데이터!$AM$3:$BD$278,27,0),0)</f>
        <v>0</v>
      </c>
      <c r="AF41" s="1134">
        <f ca="1">VLOOKUP($D41,모델정보데이터!$AM$4:$BQ$398,14,0)</f>
        <v>0</v>
      </c>
      <c r="AG41" s="260">
        <f ca="1">VLOOKUP($D41,모델정보데이터!AM:BQ,30,0)</f>
        <v>6.2E-2</v>
      </c>
      <c r="AH41" s="260">
        <f ca="1">VLOOKUP($D41,모델정보데이터!AM:BQ,31,0)</f>
        <v>5.5E-2</v>
      </c>
      <c r="AI41" s="260" t="str">
        <f ca="1">VLOOKUP($D41,모델정보데이터!AM:BQ,19,0)</f>
        <v>현대</v>
      </c>
      <c r="AJ41" s="69">
        <f ca="1">VLOOKUP($D41,모델정보데이터!AM:BQ,21,0)</f>
        <v>81000</v>
      </c>
      <c r="AK41" s="69">
        <f ca="1">VLOOKUP($D41,모델정보데이터!AM:BQ,22,0)</f>
        <v>291000</v>
      </c>
      <c r="AL41" s="69">
        <f ca="1">VLOOKUP($D41,모델정보데이터!AM:BQ,20,0)</f>
        <v>4.1000000000000002E-2</v>
      </c>
      <c r="AM41" s="69">
        <f ca="1">VLOOKUP($D41,모델정보데이터!AM:BQ,23,0)</f>
        <v>0</v>
      </c>
    </row>
    <row r="42" spans="2:39" ht="13.5" thickBot="1">
      <c r="B42" s="272"/>
      <c r="C42" s="1894" t="str">
        <f t="shared" ca="1" si="0"/>
        <v>디 올 뉴 팰리세이드 2025년형 가솔린 터보 2.5 하이브리드 (9인승) 2WD</v>
      </c>
      <c r="D42" s="269" t="str">
        <f ca="1">IF(OFFSET($D$2,40,$B$2)=0,"",OFFSET($D$2,40,$B$2))</f>
        <v>디 올 뉴 팰리세이드 2025년형 가솔린 터보 2.5 하이브리드 (9인승) 2WD</v>
      </c>
      <c r="E42" s="1385">
        <v>40</v>
      </c>
      <c r="F42" s="1389" t="s">
        <v>1937</v>
      </c>
      <c r="G42" s="61" t="s">
        <v>1217</v>
      </c>
      <c r="H42" s="41" t="s">
        <v>1389</v>
      </c>
      <c r="I42" s="69"/>
      <c r="J42" s="69"/>
      <c r="K42" s="69"/>
      <c r="L42" s="483" t="s">
        <v>1133</v>
      </c>
      <c r="O42" s="259">
        <f ca="1">VLOOKUP($D42,모델정보데이터!$AM$4:$BQ$398,3,0)</f>
        <v>2497</v>
      </c>
      <c r="P42" s="582" t="str">
        <f ca="1">VLOOKUP($D42,모델정보데이터!$AM$4:$BQ$398,4,0)</f>
        <v>V</v>
      </c>
      <c r="Q42" s="582">
        <f ca="1">VLOOKUP($D42,모델정보데이터!$AM$4:$BQ$398,5,0)</f>
        <v>9</v>
      </c>
      <c r="R42" s="582" t="str">
        <f ca="1">VLOOKUP($D42,모델정보데이터!$AM$4:$BQ$398,6,0)</f>
        <v>RV</v>
      </c>
      <c r="S42" s="582" t="str">
        <f ca="1">VLOOKUP($D42,모델정보데이터!$AM$4:$BQ$398,7,0)</f>
        <v>다인승</v>
      </c>
      <c r="T42" s="582" t="str">
        <f ca="1">VLOOKUP($D42,모델정보데이터!$AM$4:$BQ$398,15,0)</f>
        <v>A11</v>
      </c>
      <c r="U42" s="582" t="str">
        <f ca="1">VLOOKUP($D42,모델정보데이터!$AM$4:$BQ$398,16,0)</f>
        <v>A10</v>
      </c>
      <c r="V42" s="582" t="str">
        <f ca="1">VLOOKUP($D42,모델정보데이터!$AM$4:$BQ$398,8,0)</f>
        <v>7급</v>
      </c>
      <c r="W42" s="582" t="str">
        <f ca="1">VLOOKUP($D42,모델정보데이터!$AM$4:$BQ$398,9,0)</f>
        <v>02:울산</v>
      </c>
      <c r="X42" s="582" t="str">
        <f ca="1">VLOOKUP($D42,모델정보데이터!$AM$4:$BM$278,27,0)</f>
        <v>유림로지텍</v>
      </c>
      <c r="Y42" s="582" t="str">
        <f ca="1">VLOOKUP($D42,모델정보데이터!$AM$4:$BQ$398,11,0)</f>
        <v>D</v>
      </c>
      <c r="Z42" s="582" t="str">
        <f ca="1">VLOOKUP($D42,모델정보데이터!$AM$4:$BQ$398,18,0)</f>
        <v>공제조합</v>
      </c>
      <c r="AA42" s="582" t="str">
        <f ca="1">VLOOKUP($D42,모델정보데이터!$AM$4:$BQ$398,12,0)</f>
        <v>전략P</v>
      </c>
      <c r="AB42" s="583">
        <f ca="1">VLOOKUP($D42,모델정보데이터!$AM$4:$BQ$398,13,0)</f>
        <v>1.4999999999999999E-2</v>
      </c>
      <c r="AC42" s="582">
        <f ca="1">VLOOKUP($D42,모델정보데이터!$AM$4:$BQ$398,17,0)</f>
        <v>0</v>
      </c>
      <c r="AD42" s="582">
        <f ca="1">VLOOKUP($D42,모델정보데이터!$AM$4:$BQ$398,10,0)</f>
        <v>0</v>
      </c>
      <c r="AE42" s="582">
        <f ca="1">IFERROR(VLOOKUP(D42,모델정보데이터!$AM$3:$BD$278,27,0),0)</f>
        <v>0</v>
      </c>
      <c r="AF42" s="1134">
        <f ca="1">VLOOKUP($D42,모델정보데이터!$AM$4:$BQ$398,14,0)</f>
        <v>0</v>
      </c>
      <c r="AG42" s="260">
        <f ca="1">VLOOKUP($D42,모델정보데이터!AM:BQ,30,0)</f>
        <v>6.2E-2</v>
      </c>
      <c r="AH42" s="260">
        <f ca="1">VLOOKUP($D42,모델정보데이터!AM:BQ,31,0)</f>
        <v>5.5E-2</v>
      </c>
      <c r="AI42" s="260" t="str">
        <f ca="1">VLOOKUP($D42,모델정보데이터!AM:BQ,19,0)</f>
        <v>현대</v>
      </c>
      <c r="AJ42" s="69">
        <f ca="1">VLOOKUP($D42,모델정보데이터!AM:BQ,21,0)</f>
        <v>81000</v>
      </c>
      <c r="AK42" s="69">
        <f ca="1">VLOOKUP($D42,모델정보데이터!AM:BQ,22,0)</f>
        <v>291000</v>
      </c>
      <c r="AL42" s="69">
        <f ca="1">VLOOKUP($D42,모델정보데이터!AM:BQ,20,0)</f>
        <v>4.1000000000000002E-2</v>
      </c>
      <c r="AM42" s="69">
        <f ca="1">VLOOKUP($D42,모델정보데이터!AM:BQ,23,0)</f>
        <v>0</v>
      </c>
    </row>
    <row r="43" spans="2:39">
      <c r="B43" s="272"/>
      <c r="C43" s="1894" t="str">
        <f t="shared" ca="1" si="0"/>
        <v>디 올 뉴 팰리세이드 2025년형 가솔린 터보 2.5 하이브리드 (9인승) 4WD</v>
      </c>
      <c r="D43" s="269" t="str">
        <f ca="1">IF(OFFSET($D$2,41,$B$2)=0,"",OFFSET($D$2,41,$B$2))</f>
        <v>디 올 뉴 팰리세이드 2025년형 가솔린 터보 2.5 하이브리드 (9인승) 4WD</v>
      </c>
      <c r="E43" s="1385">
        <v>41</v>
      </c>
      <c r="F43" s="1389" t="s">
        <v>1938</v>
      </c>
      <c r="G43" s="61" t="s">
        <v>1826</v>
      </c>
      <c r="H43" s="41" t="s">
        <v>1390</v>
      </c>
      <c r="I43" s="69"/>
      <c r="J43" s="69"/>
      <c r="K43" s="69"/>
      <c r="O43" s="259">
        <f ca="1">VLOOKUP($D43,모델정보데이터!$AM$4:$BQ$398,3,0)</f>
        <v>2497</v>
      </c>
      <c r="P43" s="582" t="str">
        <f ca="1">VLOOKUP($D43,모델정보데이터!$AM$4:$BQ$398,4,0)</f>
        <v>M</v>
      </c>
      <c r="Q43" s="582">
        <f ca="1">VLOOKUP($D43,모델정보데이터!$AM$4:$BQ$398,5,0)</f>
        <v>9</v>
      </c>
      <c r="R43" s="582" t="str">
        <f ca="1">VLOOKUP($D43,모델정보데이터!$AM$4:$BQ$398,6,0)</f>
        <v>RV</v>
      </c>
      <c r="S43" s="582" t="str">
        <f ca="1">VLOOKUP($D43,모델정보데이터!$AM$4:$BQ$398,7,0)</f>
        <v>다인승</v>
      </c>
      <c r="T43" s="582" t="str">
        <f ca="1">VLOOKUP($D43,모델정보데이터!$AM$4:$BQ$398,15,0)</f>
        <v>A11</v>
      </c>
      <c r="U43" s="582" t="str">
        <f ca="1">VLOOKUP($D43,모델정보데이터!$AM$4:$BQ$398,16,0)</f>
        <v>A10</v>
      </c>
      <c r="V43" s="582" t="str">
        <f ca="1">VLOOKUP($D43,모델정보데이터!$AM$4:$BQ$398,8,0)</f>
        <v>7급</v>
      </c>
      <c r="W43" s="582" t="str">
        <f ca="1">VLOOKUP($D43,모델정보데이터!$AM$4:$BQ$398,9,0)</f>
        <v>02:울산</v>
      </c>
      <c r="X43" s="582" t="str">
        <f ca="1">VLOOKUP($D43,모델정보데이터!$AM$4:$BM$278,27,0)</f>
        <v>유림로지텍</v>
      </c>
      <c r="Y43" s="582" t="str">
        <f ca="1">VLOOKUP($D43,모델정보데이터!$AM$4:$BQ$398,11,0)</f>
        <v>D</v>
      </c>
      <c r="Z43" s="582" t="str">
        <f ca="1">VLOOKUP($D43,모델정보데이터!$AM$4:$BQ$398,18,0)</f>
        <v>공제조합</v>
      </c>
      <c r="AA43" s="582" t="str">
        <f ca="1">VLOOKUP($D43,모델정보데이터!$AM$4:$BQ$398,12,0)</f>
        <v>전략P</v>
      </c>
      <c r="AB43" s="583">
        <f ca="1">VLOOKUP($D43,모델정보데이터!$AM$4:$BQ$398,13,0)</f>
        <v>1.4999999999999999E-2</v>
      </c>
      <c r="AC43" s="582">
        <f ca="1">VLOOKUP($D43,모델정보데이터!$AM$4:$BQ$398,17,0)</f>
        <v>0</v>
      </c>
      <c r="AD43" s="582">
        <f ca="1">VLOOKUP($D43,모델정보데이터!$AM$4:$BQ$398,10,0)</f>
        <v>0</v>
      </c>
      <c r="AE43" s="582">
        <f ca="1">IFERROR(VLOOKUP(D43,모델정보데이터!$AM$3:$BD$278,27,0),0)</f>
        <v>0</v>
      </c>
      <c r="AF43" s="1134">
        <f ca="1">VLOOKUP($D43,모델정보데이터!$AM$4:$BQ$398,14,0)</f>
        <v>0</v>
      </c>
      <c r="AG43" s="260">
        <f ca="1">VLOOKUP($D43,모델정보데이터!AM:BQ,30,0)</f>
        <v>6.2E-2</v>
      </c>
      <c r="AH43" s="260">
        <f ca="1">VLOOKUP($D43,모델정보데이터!AM:BQ,31,0)</f>
        <v>5.5E-2</v>
      </c>
      <c r="AI43" s="260" t="str">
        <f ca="1">VLOOKUP($D43,모델정보데이터!AM:BQ,19,0)</f>
        <v>현대</v>
      </c>
      <c r="AJ43" s="69">
        <f ca="1">VLOOKUP($D43,모델정보데이터!AM:BQ,21,0)</f>
        <v>81000</v>
      </c>
      <c r="AK43" s="69">
        <f ca="1">VLOOKUP($D43,모델정보데이터!AM:BQ,22,0)</f>
        <v>291000</v>
      </c>
      <c r="AL43" s="69">
        <f ca="1">VLOOKUP($D43,모델정보데이터!AM:BQ,20,0)</f>
        <v>4.1000000000000002E-2</v>
      </c>
      <c r="AM43" s="69">
        <f ca="1">VLOOKUP($D43,모델정보데이터!AM:BQ,23,0)</f>
        <v>0</v>
      </c>
    </row>
    <row r="44" spans="2:39">
      <c r="B44" s="272"/>
      <c r="C44" s="1894" t="str">
        <f t="shared" ca="1" si="0"/>
        <v>디 올 뉴 팰리세이드 2025년형 가솔린 터보 2.5 하이브리드 (7인승) 2WD</v>
      </c>
      <c r="D44" s="269" t="str">
        <f ca="1">IF(OFFSET($D$2,42,$B$2)=0,"",OFFSET($D$2,42,$B$2))</f>
        <v>디 올 뉴 팰리세이드 2025년형 가솔린 터보 2.5 하이브리드 (7인승) 2WD</v>
      </c>
      <c r="E44" s="1385">
        <v>42</v>
      </c>
      <c r="F44" s="1389" t="s">
        <v>1939</v>
      </c>
      <c r="G44" s="61" t="s">
        <v>1218</v>
      </c>
      <c r="H44" s="41" t="s">
        <v>1391</v>
      </c>
      <c r="I44" s="69"/>
      <c r="J44" s="69"/>
      <c r="K44" s="69"/>
      <c r="M44" s="589"/>
      <c r="O44" s="259">
        <f ca="1">VLOOKUP($D44,모델정보데이터!$AM$4:$BQ$398,3,0)</f>
        <v>2497</v>
      </c>
      <c r="P44" s="582" t="str">
        <f ca="1">VLOOKUP($D44,모델정보데이터!$AM$4:$BQ$398,4,0)</f>
        <v>V</v>
      </c>
      <c r="Q44" s="582">
        <f ca="1">VLOOKUP($D44,모델정보데이터!$AM$4:$BQ$398,5,0)</f>
        <v>7</v>
      </c>
      <c r="R44" s="582" t="str">
        <f ca="1">VLOOKUP($D44,모델정보데이터!$AM$4:$BQ$398,6,0)</f>
        <v>RV</v>
      </c>
      <c r="S44" s="582" t="str">
        <f ca="1">VLOOKUP($D44,모델정보데이터!$AM$4:$BQ$398,7,0)</f>
        <v>다인승</v>
      </c>
      <c r="T44" s="582" t="str">
        <f ca="1">VLOOKUP($D44,모델정보데이터!$AM$4:$BQ$398,15,0)</f>
        <v>A8</v>
      </c>
      <c r="U44" s="582" t="str">
        <f ca="1">VLOOKUP($D44,모델정보데이터!$AM$4:$BQ$398,16,0)</f>
        <v>A10</v>
      </c>
      <c r="V44" s="582" t="str">
        <f ca="1">VLOOKUP($D44,모델정보데이터!$AM$4:$BQ$398,8,0)</f>
        <v>7급</v>
      </c>
      <c r="W44" s="582" t="str">
        <f ca="1">VLOOKUP($D44,모델정보데이터!$AM$4:$BQ$398,9,0)</f>
        <v>02:울산</v>
      </c>
      <c r="X44" s="582" t="str">
        <f ca="1">VLOOKUP($D44,모델정보데이터!$AM$4:$BM$278,27,0)</f>
        <v>유림로지텍</v>
      </c>
      <c r="Y44" s="582" t="str">
        <f ca="1">VLOOKUP($D44,모델정보데이터!$AM$4:$BQ$398,11,0)</f>
        <v>D</v>
      </c>
      <c r="Z44" s="582" t="str">
        <f ca="1">VLOOKUP($D44,모델정보데이터!$AM$4:$BQ$398,18,0)</f>
        <v>공제조합</v>
      </c>
      <c r="AA44" s="582" t="str">
        <f ca="1">VLOOKUP($D44,모델정보데이터!$AM$4:$BQ$398,12,0)</f>
        <v>전략P</v>
      </c>
      <c r="AB44" s="583">
        <f ca="1">VLOOKUP($D44,모델정보데이터!$AM$4:$BQ$398,13,0)</f>
        <v>1.4999999999999999E-2</v>
      </c>
      <c r="AC44" s="582">
        <f ca="1">VLOOKUP($D44,모델정보데이터!$AM$4:$BQ$398,17,0)</f>
        <v>0</v>
      </c>
      <c r="AD44" s="582">
        <f ca="1">VLOOKUP($D44,모델정보데이터!$AM$4:$BQ$398,10,0)</f>
        <v>0</v>
      </c>
      <c r="AE44" s="582">
        <f ca="1">IFERROR(VLOOKUP(D44,모델정보데이터!$AM$3:$BD$278,27,0),0)</f>
        <v>0</v>
      </c>
      <c r="AF44" s="1134">
        <f ca="1">VLOOKUP($D44,모델정보데이터!$AM$4:$BQ$398,14,0)</f>
        <v>0</v>
      </c>
      <c r="AG44" s="260">
        <f ca="1">VLOOKUP($D44,모델정보데이터!AM:BQ,30,0)</f>
        <v>6.2E-2</v>
      </c>
      <c r="AH44" s="260">
        <f ca="1">VLOOKUP($D44,모델정보데이터!AM:BQ,31,0)</f>
        <v>5.5E-2</v>
      </c>
      <c r="AI44" s="260" t="str">
        <f ca="1">VLOOKUP($D44,모델정보데이터!AM:BQ,19,0)</f>
        <v>현대</v>
      </c>
      <c r="AJ44" s="69">
        <f ca="1">VLOOKUP($D44,모델정보데이터!AM:BQ,21,0)</f>
        <v>81000</v>
      </c>
      <c r="AK44" s="69">
        <f ca="1">VLOOKUP($D44,모델정보데이터!AM:BQ,22,0)</f>
        <v>291000</v>
      </c>
      <c r="AL44" s="69">
        <f ca="1">VLOOKUP($D44,모델정보데이터!AM:BQ,20,0)</f>
        <v>4.1000000000000002E-2</v>
      </c>
      <c r="AM44" s="69">
        <f ca="1">VLOOKUP($D44,모델정보데이터!AM:BQ,23,0)</f>
        <v>0</v>
      </c>
    </row>
    <row r="45" spans="2:39">
      <c r="B45" s="272"/>
      <c r="C45" s="1894" t="str">
        <f t="shared" ca="1" si="0"/>
        <v>디 올 뉴 팰리세이드 2025년형 가솔린 터보 2.5 하이브리드 (7인승) 4WD</v>
      </c>
      <c r="D45" s="269" t="str">
        <f ca="1">IF(OFFSET($D$2,43,$B$2)=0,"",OFFSET($D$2,43,$B$2))</f>
        <v>디 올 뉴 팰리세이드 2025년형 가솔린 터보 2.5 하이브리드 (7인승) 4WD</v>
      </c>
      <c r="E45" s="1385">
        <v>43</v>
      </c>
      <c r="F45" s="1389" t="s">
        <v>1940</v>
      </c>
      <c r="G45" s="61" t="s">
        <v>1827</v>
      </c>
      <c r="H45" s="41" t="s">
        <v>1392</v>
      </c>
      <c r="I45" s="69"/>
      <c r="J45" s="69"/>
      <c r="K45" s="69"/>
      <c r="M45" s="589"/>
      <c r="O45" s="259">
        <f ca="1">VLOOKUP($D45,모델정보데이터!$AM$4:$BQ$398,3,0)</f>
        <v>2497</v>
      </c>
      <c r="P45" s="582" t="str">
        <f ca="1">VLOOKUP($D45,모델정보데이터!$AM$4:$BQ$398,4,0)</f>
        <v>M</v>
      </c>
      <c r="Q45" s="582">
        <f ca="1">VLOOKUP($D45,모델정보데이터!$AM$4:$BQ$398,5,0)</f>
        <v>7</v>
      </c>
      <c r="R45" s="582" t="str">
        <f ca="1">VLOOKUP($D45,모델정보데이터!$AM$4:$BQ$398,6,0)</f>
        <v>RV</v>
      </c>
      <c r="S45" s="582" t="str">
        <f ca="1">VLOOKUP($D45,모델정보데이터!$AM$4:$BQ$398,7,0)</f>
        <v>다인승</v>
      </c>
      <c r="T45" s="582" t="str">
        <f ca="1">VLOOKUP($D45,모델정보데이터!$AM$4:$BQ$398,15,0)</f>
        <v>A8</v>
      </c>
      <c r="U45" s="582" t="str">
        <f ca="1">VLOOKUP($D45,모델정보데이터!$AM$4:$BQ$398,16,0)</f>
        <v>A10</v>
      </c>
      <c r="V45" s="582" t="str">
        <f ca="1">VLOOKUP($D45,모델정보데이터!$AM$4:$BQ$398,8,0)</f>
        <v>7급</v>
      </c>
      <c r="W45" s="582" t="str">
        <f ca="1">VLOOKUP($D45,모델정보데이터!$AM$4:$BQ$398,9,0)</f>
        <v>02:울산</v>
      </c>
      <c r="X45" s="582" t="str">
        <f ca="1">VLOOKUP($D45,모델정보데이터!$AM$4:$BM$278,27,0)</f>
        <v>유림로지텍</v>
      </c>
      <c r="Y45" s="582" t="str">
        <f ca="1">VLOOKUP($D45,모델정보데이터!$AM$4:$BQ$398,11,0)</f>
        <v>D</v>
      </c>
      <c r="Z45" s="582" t="str">
        <f ca="1">VLOOKUP($D45,모델정보데이터!$AM$4:$BQ$398,18,0)</f>
        <v>공제조합</v>
      </c>
      <c r="AA45" s="582" t="str">
        <f ca="1">VLOOKUP($D45,모델정보데이터!$AM$4:$BQ$398,12,0)</f>
        <v>전략P</v>
      </c>
      <c r="AB45" s="583">
        <f ca="1">VLOOKUP($D45,모델정보데이터!$AM$4:$BQ$398,13,0)</f>
        <v>1.4999999999999999E-2</v>
      </c>
      <c r="AC45" s="582">
        <f ca="1">VLOOKUP($D45,모델정보데이터!$AM$4:$BQ$398,17,0)</f>
        <v>0</v>
      </c>
      <c r="AD45" s="582">
        <f ca="1">VLOOKUP($D45,모델정보데이터!$AM$4:$BQ$398,10,0)</f>
        <v>0</v>
      </c>
      <c r="AE45" s="582">
        <f ca="1">IFERROR(VLOOKUP(D45,모델정보데이터!$AM$3:$BD$278,27,0),0)</f>
        <v>0</v>
      </c>
      <c r="AF45" s="1134">
        <f ca="1">VLOOKUP($D45,모델정보데이터!$AM$4:$BQ$398,14,0)</f>
        <v>0</v>
      </c>
      <c r="AG45" s="260">
        <f ca="1">VLOOKUP($D45,모델정보데이터!AM:BQ,30,0)</f>
        <v>6.2E-2</v>
      </c>
      <c r="AH45" s="260">
        <f ca="1">VLOOKUP($D45,모델정보데이터!AM:BQ,31,0)</f>
        <v>5.5E-2</v>
      </c>
      <c r="AI45" s="260" t="str">
        <f ca="1">VLOOKUP($D45,모델정보데이터!AM:BQ,19,0)</f>
        <v>현대</v>
      </c>
      <c r="AJ45" s="69">
        <f ca="1">VLOOKUP($D45,모델정보데이터!AM:BQ,21,0)</f>
        <v>81000</v>
      </c>
      <c r="AK45" s="69">
        <f ca="1">VLOOKUP($D45,모델정보데이터!AM:BQ,22,0)</f>
        <v>291000</v>
      </c>
      <c r="AL45" s="69">
        <f ca="1">VLOOKUP($D45,모델정보데이터!AM:BQ,20,0)</f>
        <v>4.1000000000000002E-2</v>
      </c>
      <c r="AM45" s="69">
        <f ca="1">VLOOKUP($D45,모델정보데이터!AM:BQ,23,0)</f>
        <v>0</v>
      </c>
    </row>
    <row r="46" spans="2:39">
      <c r="B46" s="272"/>
      <c r="C46" s="1894" t="str">
        <f t="shared" ca="1" si="0"/>
        <v>————————◆구형 팰리세이드◆————————————————</v>
      </c>
      <c r="D46" s="269" t="str">
        <f ca="1">IF(OFFSET($D$2,44,$B$2)=0,"",OFFSET($D$2,44,$B$2))</f>
        <v>————————◆구형 팰리세이드◆————————————————</v>
      </c>
      <c r="E46" s="1385">
        <v>44</v>
      </c>
      <c r="F46" s="41" t="s">
        <v>1982</v>
      </c>
      <c r="G46" s="61" t="s">
        <v>971</v>
      </c>
      <c r="H46" s="41" t="s">
        <v>1393</v>
      </c>
      <c r="I46" s="69"/>
      <c r="J46" s="69"/>
      <c r="K46" s="69"/>
      <c r="M46" s="589"/>
      <c r="O46" s="259" t="e">
        <f ca="1">VLOOKUP($D46,모델정보데이터!$AM$4:$BQ$398,3,0)</f>
        <v>#N/A</v>
      </c>
      <c r="P46" s="582" t="e">
        <f ca="1">VLOOKUP($D46,모델정보데이터!$AM$4:$BQ$398,4,0)</f>
        <v>#N/A</v>
      </c>
      <c r="Q46" s="582" t="e">
        <f ca="1">VLOOKUP($D46,모델정보데이터!$AM$4:$BQ$398,5,0)</f>
        <v>#N/A</v>
      </c>
      <c r="R46" s="582" t="e">
        <f ca="1">VLOOKUP($D46,모델정보데이터!$AM$4:$BQ$398,6,0)</f>
        <v>#N/A</v>
      </c>
      <c r="S46" s="582" t="e">
        <f ca="1">VLOOKUP($D46,모델정보데이터!$AM$4:$BQ$398,7,0)</f>
        <v>#N/A</v>
      </c>
      <c r="T46" s="582" t="e">
        <f ca="1">VLOOKUP($D46,모델정보데이터!$AM$4:$BQ$398,15,0)</f>
        <v>#N/A</v>
      </c>
      <c r="U46" s="582" t="e">
        <f ca="1">VLOOKUP($D46,모델정보데이터!$AM$4:$BQ$398,16,0)</f>
        <v>#N/A</v>
      </c>
      <c r="V46" s="582" t="e">
        <f ca="1">VLOOKUP($D46,모델정보데이터!$AM$4:$BQ$398,8,0)</f>
        <v>#N/A</v>
      </c>
      <c r="W46" s="582" t="e">
        <f ca="1">VLOOKUP($D46,모델정보데이터!$AM$4:$BQ$398,9,0)</f>
        <v>#N/A</v>
      </c>
      <c r="X46" s="582" t="e">
        <f ca="1">VLOOKUP($D46,모델정보데이터!$AM$4:$BM$278,27,0)</f>
        <v>#N/A</v>
      </c>
      <c r="Y46" s="582" t="e">
        <f ca="1">VLOOKUP($D46,모델정보데이터!$AM$4:$BQ$398,11,0)</f>
        <v>#N/A</v>
      </c>
      <c r="Z46" s="582" t="e">
        <f ca="1">VLOOKUP($D46,모델정보데이터!$AM$4:$BQ$398,18,0)</f>
        <v>#N/A</v>
      </c>
      <c r="AA46" s="582" t="e">
        <f ca="1">VLOOKUP($D46,모델정보데이터!$AM$4:$BQ$398,12,0)</f>
        <v>#N/A</v>
      </c>
      <c r="AB46" s="583" t="e">
        <f ca="1">VLOOKUP($D46,모델정보데이터!$AM$4:$BQ$398,13,0)</f>
        <v>#N/A</v>
      </c>
      <c r="AC46" s="582" t="e">
        <f ca="1">VLOOKUP($D46,모델정보데이터!$AM$4:$BQ$398,17,0)</f>
        <v>#N/A</v>
      </c>
      <c r="AD46" s="582" t="e">
        <f ca="1">VLOOKUP($D46,모델정보데이터!$AM$4:$BQ$398,10,0)</f>
        <v>#N/A</v>
      </c>
      <c r="AE46" s="582">
        <f ca="1">IFERROR(VLOOKUP(D46,모델정보데이터!$AM$3:$BD$278,27,0),0)</f>
        <v>0</v>
      </c>
      <c r="AF46" s="1134" t="e">
        <f ca="1">VLOOKUP($D46,모델정보데이터!$AM$4:$BQ$398,14,0)</f>
        <v>#N/A</v>
      </c>
      <c r="AG46" s="260" t="e">
        <f ca="1">VLOOKUP($D46,모델정보데이터!AM:BQ,30,0)</f>
        <v>#N/A</v>
      </c>
      <c r="AH46" s="260" t="e">
        <f ca="1">VLOOKUP($D46,모델정보데이터!AM:BQ,31,0)</f>
        <v>#N/A</v>
      </c>
      <c r="AI46" s="260" t="e">
        <f ca="1">VLOOKUP($D46,모델정보데이터!AM:BQ,19,0)</f>
        <v>#N/A</v>
      </c>
      <c r="AJ46" s="69" t="e">
        <f ca="1">VLOOKUP($D46,모델정보데이터!AM:BQ,21,0)</f>
        <v>#N/A</v>
      </c>
      <c r="AK46" s="69" t="e">
        <f ca="1">VLOOKUP($D46,모델정보데이터!AM:BQ,22,0)</f>
        <v>#N/A</v>
      </c>
      <c r="AL46" s="69" t="e">
        <f ca="1">VLOOKUP($D46,모델정보데이터!AM:BQ,20,0)</f>
        <v>#N/A</v>
      </c>
      <c r="AM46" s="69" t="e">
        <f ca="1">VLOOKUP($D46,모델정보데이터!AM:BQ,23,0)</f>
        <v>#N/A</v>
      </c>
    </row>
    <row r="47" spans="2:39">
      <c r="B47" s="272"/>
      <c r="C47" s="1894" t="str">
        <f t="shared" ca="1" si="0"/>
        <v>팰리세이드 가솔린 3.8 2WD (7인승)</v>
      </c>
      <c r="D47" s="269" t="str">
        <f ca="1">IF(OFFSET($D$2,45,$B$2)=0,"",OFFSET($D$2,45,$B$2))</f>
        <v>팰리세이드 가솔린 3.8 2WD (7인승)</v>
      </c>
      <c r="E47" s="1385">
        <v>45</v>
      </c>
      <c r="F47" s="1389" t="s">
        <v>1983</v>
      </c>
      <c r="G47" s="61" t="s">
        <v>1073</v>
      </c>
      <c r="H47" s="41" t="s">
        <v>1394</v>
      </c>
      <c r="I47" s="69"/>
      <c r="J47" s="69"/>
      <c r="K47" s="69"/>
      <c r="M47" s="589"/>
      <c r="O47" s="259">
        <f ca="1">VLOOKUP($D47,모델정보데이터!$AM$4:$BQ$398,3,0)</f>
        <v>3778</v>
      </c>
      <c r="P47" s="582" t="str">
        <f ca="1">VLOOKUP($D47,모델정보데이터!$AM$4:$BQ$398,4,0)</f>
        <v>M</v>
      </c>
      <c r="Q47" s="582">
        <f ca="1">VLOOKUP($D47,모델정보데이터!$AM$4:$BQ$398,5,0)</f>
        <v>7</v>
      </c>
      <c r="R47" s="582" t="str">
        <f ca="1">VLOOKUP($D47,모델정보데이터!$AM$4:$BQ$398,6,0)</f>
        <v>RV</v>
      </c>
      <c r="S47" s="582" t="str">
        <f ca="1">VLOOKUP($D47,모델정보데이터!$AM$4:$BQ$398,7,0)</f>
        <v>다인승</v>
      </c>
      <c r="T47" s="582" t="str">
        <f ca="1">VLOOKUP($D47,모델정보데이터!$AM$4:$BQ$398,15,0)</f>
        <v>A2</v>
      </c>
      <c r="U47" s="582" t="str">
        <f ca="1">VLOOKUP($D47,모델정보데이터!$AM$4:$BQ$398,16,0)</f>
        <v>A4</v>
      </c>
      <c r="V47" s="582" t="str">
        <f ca="1">VLOOKUP($D47,모델정보데이터!$AM$4:$BQ$398,8,0)</f>
        <v>7급</v>
      </c>
      <c r="W47" s="582" t="str">
        <f ca="1">VLOOKUP($D47,모델정보데이터!$AM$4:$BQ$398,9,0)</f>
        <v>02:울산</v>
      </c>
      <c r="X47" s="582" t="str">
        <f ca="1">VLOOKUP($D47,모델정보데이터!$AM$4:$BM$278,27,0)</f>
        <v>유림로지텍</v>
      </c>
      <c r="Y47" s="582" t="str">
        <f ca="1">VLOOKUP($D47,모델정보데이터!$AM$4:$BQ$398,11,0)</f>
        <v>D</v>
      </c>
      <c r="Z47" s="582" t="str">
        <f ca="1">VLOOKUP($D47,모델정보데이터!$AM$4:$BQ$398,18,0)</f>
        <v>공제조합</v>
      </c>
      <c r="AA47" s="582" t="str">
        <f ca="1">VLOOKUP($D47,모델정보데이터!$AM$4:$BQ$398,12,0)</f>
        <v>전략P</v>
      </c>
      <c r="AB47" s="583">
        <f ca="1">VLOOKUP($D47,모델정보데이터!$AM$4:$BQ$398,13,0)</f>
        <v>1.4999999999999999E-2</v>
      </c>
      <c r="AC47" s="582">
        <f ca="1">VLOOKUP($D47,모델정보데이터!$AM$4:$BQ$398,17,0)</f>
        <v>0</v>
      </c>
      <c r="AD47" s="582">
        <f ca="1">VLOOKUP($D47,모델정보데이터!$AM$4:$BQ$398,10,0)</f>
        <v>0</v>
      </c>
      <c r="AE47" s="582">
        <f ca="1">IFERROR(VLOOKUP(D47,모델정보데이터!$AM$3:$BD$278,27,0),0)</f>
        <v>0</v>
      </c>
      <c r="AF47" s="1134">
        <f ca="1">VLOOKUP($D47,모델정보데이터!$AM$4:$BQ$398,14,0)</f>
        <v>0</v>
      </c>
      <c r="AG47" s="260">
        <f ca="1">VLOOKUP($D47,모델정보데이터!AM:BQ,30,0)</f>
        <v>6.2E-2</v>
      </c>
      <c r="AH47" s="260">
        <f ca="1">VLOOKUP($D47,모델정보데이터!AM:BQ,31,0)</f>
        <v>5.5E-2</v>
      </c>
      <c r="AI47" s="260" t="str">
        <f ca="1">VLOOKUP($D47,모델정보데이터!AM:BQ,19,0)</f>
        <v>현대</v>
      </c>
      <c r="AJ47" s="69">
        <f ca="1">VLOOKUP($D47,모델정보데이터!AM:BQ,21,0)</f>
        <v>81000</v>
      </c>
      <c r="AK47" s="69">
        <f ca="1">VLOOKUP($D47,모델정보데이터!AM:BQ,22,0)</f>
        <v>291000</v>
      </c>
      <c r="AL47" s="69">
        <f ca="1">VLOOKUP($D47,모델정보데이터!AM:BQ,20,0)</f>
        <v>4.1000000000000002E-2</v>
      </c>
      <c r="AM47" s="69">
        <f ca="1">VLOOKUP($D47,모델정보데이터!AM:BQ,23,0)</f>
        <v>0</v>
      </c>
    </row>
    <row r="48" spans="2:39">
      <c r="B48" s="272"/>
      <c r="C48" s="1894" t="str">
        <f t="shared" ca="1" si="0"/>
        <v>팰리세이드 가솔린 3.8 2WD (8인승)</v>
      </c>
      <c r="D48" s="269" t="str">
        <f ca="1">IF(OFFSET($D$2,46,$B$2)=0,"",OFFSET($D$2,46,$B$2))</f>
        <v>팰리세이드 가솔린 3.8 2WD (8인승)</v>
      </c>
      <c r="E48" s="1385">
        <v>46</v>
      </c>
      <c r="F48" s="1389" t="s">
        <v>1984</v>
      </c>
      <c r="G48" s="61" t="s">
        <v>1436</v>
      </c>
      <c r="H48" s="41" t="s">
        <v>1395</v>
      </c>
      <c r="I48" s="69"/>
      <c r="J48" s="69"/>
      <c r="K48" s="69"/>
      <c r="M48" s="589"/>
      <c r="O48" s="259">
        <f ca="1">VLOOKUP($D48,모델정보데이터!$AM$4:$BQ$398,3,0)</f>
        <v>3778</v>
      </c>
      <c r="P48" s="582" t="str">
        <f ca="1">VLOOKUP($D48,모델정보데이터!$AM$4:$BQ$398,4,0)</f>
        <v>M</v>
      </c>
      <c r="Q48" s="582">
        <f ca="1">VLOOKUP($D48,모델정보데이터!$AM$4:$BQ$398,5,0)</f>
        <v>8</v>
      </c>
      <c r="R48" s="582" t="str">
        <f ca="1">VLOOKUP($D48,모델정보데이터!$AM$4:$BQ$398,6,0)</f>
        <v>RV</v>
      </c>
      <c r="S48" s="582" t="str">
        <f ca="1">VLOOKUP($D48,모델정보데이터!$AM$4:$BQ$398,7,0)</f>
        <v>다인승</v>
      </c>
      <c r="T48" s="582" t="str">
        <f ca="1">VLOOKUP($D48,모델정보데이터!$AM$4:$BQ$398,15,0)</f>
        <v>A2</v>
      </c>
      <c r="U48" s="582" t="str">
        <f ca="1">VLOOKUP($D48,모델정보데이터!$AM$4:$BQ$398,16,0)</f>
        <v>A4</v>
      </c>
      <c r="V48" s="582" t="str">
        <f ca="1">VLOOKUP($D48,모델정보데이터!$AM$4:$BQ$398,8,0)</f>
        <v>7급</v>
      </c>
      <c r="W48" s="582" t="str">
        <f ca="1">VLOOKUP($D48,모델정보데이터!$AM$4:$BQ$398,9,0)</f>
        <v>02:울산</v>
      </c>
      <c r="X48" s="582" t="str">
        <f ca="1">VLOOKUP($D48,모델정보데이터!$AM$4:$BM$278,27,0)</f>
        <v>유림로지텍</v>
      </c>
      <c r="Y48" s="582" t="str">
        <f ca="1">VLOOKUP($D48,모델정보데이터!$AM$4:$BQ$398,11,0)</f>
        <v>D</v>
      </c>
      <c r="Z48" s="582" t="str">
        <f ca="1">VLOOKUP($D48,모델정보데이터!$AM$4:$BQ$398,18,0)</f>
        <v>공제조합</v>
      </c>
      <c r="AA48" s="582" t="str">
        <f ca="1">VLOOKUP($D48,모델정보데이터!$AM$4:$BQ$398,12,0)</f>
        <v>전략P</v>
      </c>
      <c r="AB48" s="583">
        <f ca="1">VLOOKUP($D48,모델정보데이터!$AM$4:$BQ$398,13,0)</f>
        <v>1.4999999999999999E-2</v>
      </c>
      <c r="AC48" s="582">
        <f ca="1">VLOOKUP($D48,모델정보데이터!$AM$4:$BQ$398,17,0)</f>
        <v>0</v>
      </c>
      <c r="AD48" s="582">
        <f ca="1">VLOOKUP($D48,모델정보데이터!$AM$4:$BQ$398,10,0)</f>
        <v>0</v>
      </c>
      <c r="AE48" s="582">
        <f ca="1">IFERROR(VLOOKUP(D48,모델정보데이터!$AM$3:$BD$278,27,0),0)</f>
        <v>0</v>
      </c>
      <c r="AF48" s="1134">
        <f ca="1">VLOOKUP($D48,모델정보데이터!$AM$4:$BQ$398,14,0)</f>
        <v>0</v>
      </c>
      <c r="AG48" s="260">
        <f ca="1">VLOOKUP($D48,모델정보데이터!AM:BQ,30,0)</f>
        <v>6.2E-2</v>
      </c>
      <c r="AH48" s="260">
        <f ca="1">VLOOKUP($D48,모델정보데이터!AM:BQ,31,0)</f>
        <v>5.5E-2</v>
      </c>
      <c r="AI48" s="260" t="str">
        <f ca="1">VLOOKUP($D48,모델정보데이터!AM:BQ,19,0)</f>
        <v>현대</v>
      </c>
      <c r="AJ48" s="69">
        <f ca="1">VLOOKUP($D48,모델정보데이터!AM:BQ,21,0)</f>
        <v>81000</v>
      </c>
      <c r="AK48" s="69">
        <f ca="1">VLOOKUP($D48,모델정보데이터!AM:BQ,22,0)</f>
        <v>291000</v>
      </c>
      <c r="AL48" s="69">
        <f ca="1">VLOOKUP($D48,모델정보데이터!AM:BQ,20,0)</f>
        <v>4.1000000000000002E-2</v>
      </c>
      <c r="AM48" s="69">
        <f ca="1">VLOOKUP($D48,모델정보데이터!AM:BQ,23,0)</f>
        <v>0</v>
      </c>
    </row>
    <row r="49" spans="2:39">
      <c r="B49" s="272"/>
      <c r="C49" s="1894" t="str">
        <f t="shared" ca="1" si="0"/>
        <v>팰리세이드 가솔린 3.8 4WD (7인승)</v>
      </c>
      <c r="D49" s="269" t="str">
        <f ca="1">IF(OFFSET($D$2,47,$B$2)=0,"",OFFSET($D$2,47,$B$2))</f>
        <v>팰리세이드 가솔린 3.8 4WD (7인승)</v>
      </c>
      <c r="E49" s="1385">
        <v>47</v>
      </c>
      <c r="F49" s="1389" t="s">
        <v>1985</v>
      </c>
      <c r="G49" s="61" t="s">
        <v>1074</v>
      </c>
      <c r="H49" s="41" t="s">
        <v>1396</v>
      </c>
      <c r="I49" s="69"/>
      <c r="J49" s="69"/>
      <c r="K49" s="69"/>
      <c r="M49" s="589"/>
      <c r="O49" s="259">
        <f ca="1">VLOOKUP($D49,모델정보데이터!$AM$4:$BQ$398,3,0)</f>
        <v>3778</v>
      </c>
      <c r="P49" s="582" t="str">
        <f ca="1">VLOOKUP($D49,모델정보데이터!$AM$4:$BQ$398,4,0)</f>
        <v>M</v>
      </c>
      <c r="Q49" s="582">
        <f ca="1">VLOOKUP($D49,모델정보데이터!$AM$4:$BQ$398,5,0)</f>
        <v>7</v>
      </c>
      <c r="R49" s="582" t="str">
        <f ca="1">VLOOKUP($D49,모델정보데이터!$AM$4:$BQ$398,6,0)</f>
        <v>RV</v>
      </c>
      <c r="S49" s="582" t="str">
        <f ca="1">VLOOKUP($D49,모델정보데이터!$AM$4:$BQ$398,7,0)</f>
        <v>다인승</v>
      </c>
      <c r="T49" s="582" t="str">
        <f ca="1">VLOOKUP($D49,모델정보데이터!$AM$4:$BQ$398,15,0)</f>
        <v>A2</v>
      </c>
      <c r="U49" s="582" t="str">
        <f ca="1">VLOOKUP($D49,모델정보데이터!$AM$4:$BQ$398,16,0)</f>
        <v>A4</v>
      </c>
      <c r="V49" s="582" t="str">
        <f ca="1">VLOOKUP($D49,모델정보데이터!$AM$4:$BQ$398,8,0)</f>
        <v>7급</v>
      </c>
      <c r="W49" s="582" t="str">
        <f ca="1">VLOOKUP($D49,모델정보데이터!$AM$4:$BQ$398,9,0)</f>
        <v>02:울산</v>
      </c>
      <c r="X49" s="582" t="str">
        <f ca="1">VLOOKUP($D49,모델정보데이터!$AM$4:$BM$278,27,0)</f>
        <v>유림로지텍</v>
      </c>
      <c r="Y49" s="582" t="str">
        <f ca="1">VLOOKUP($D49,모델정보데이터!$AM$4:$BQ$398,11,0)</f>
        <v>D</v>
      </c>
      <c r="Z49" s="582" t="str">
        <f ca="1">VLOOKUP($D49,모델정보데이터!$AM$4:$BQ$398,18,0)</f>
        <v>공제조합</v>
      </c>
      <c r="AA49" s="582" t="str">
        <f ca="1">VLOOKUP($D49,모델정보데이터!$AM$4:$BQ$398,12,0)</f>
        <v>전략P</v>
      </c>
      <c r="AB49" s="583">
        <f ca="1">VLOOKUP($D49,모델정보데이터!$AM$4:$BQ$398,13,0)</f>
        <v>1.4999999999999999E-2</v>
      </c>
      <c r="AC49" s="582">
        <f ca="1">VLOOKUP($D49,모델정보데이터!$AM$4:$BQ$398,17,0)</f>
        <v>0</v>
      </c>
      <c r="AD49" s="582">
        <f ca="1">VLOOKUP($D49,모델정보데이터!$AM$4:$BQ$398,10,0)</f>
        <v>0</v>
      </c>
      <c r="AE49" s="582">
        <f ca="1">IFERROR(VLOOKUP(D49,모델정보데이터!$AM$3:$BD$278,27,0),0)</f>
        <v>0</v>
      </c>
      <c r="AF49" s="1134">
        <f ca="1">VLOOKUP($D49,모델정보데이터!$AM$4:$BQ$398,14,0)</f>
        <v>0</v>
      </c>
      <c r="AG49" s="260">
        <f ca="1">VLOOKUP($D49,모델정보데이터!AM:BQ,30,0)</f>
        <v>6.2E-2</v>
      </c>
      <c r="AH49" s="260">
        <f ca="1">VLOOKUP($D49,모델정보데이터!AM:BQ,31,0)</f>
        <v>5.5E-2</v>
      </c>
      <c r="AI49" s="260" t="str">
        <f ca="1">VLOOKUP($D49,모델정보데이터!AM:BQ,19,0)</f>
        <v>현대</v>
      </c>
      <c r="AJ49" s="69">
        <f ca="1">VLOOKUP($D49,모델정보데이터!AM:BQ,21,0)</f>
        <v>81000</v>
      </c>
      <c r="AK49" s="69">
        <f ca="1">VLOOKUP($D49,모델정보데이터!AM:BQ,22,0)</f>
        <v>291000</v>
      </c>
      <c r="AL49" s="69">
        <f ca="1">VLOOKUP($D49,모델정보데이터!AM:BQ,20,0)</f>
        <v>4.1000000000000002E-2</v>
      </c>
      <c r="AM49" s="69">
        <f ca="1">VLOOKUP($D49,모델정보데이터!AM:BQ,23,0)</f>
        <v>0</v>
      </c>
    </row>
    <row r="50" spans="2:39">
      <c r="B50" s="272"/>
      <c r="C50" s="1894" t="str">
        <f t="shared" ca="1" si="0"/>
        <v>팰리세이드 가솔린 3.8 4WD (8인승)</v>
      </c>
      <c r="D50" s="269" t="str">
        <f ca="1">IF(OFFSET($D$2,48,$B$2)=0,"",OFFSET($D$2,48,$B$2))</f>
        <v>팰리세이드 가솔린 3.8 4WD (8인승)</v>
      </c>
      <c r="E50" s="1385">
        <v>48</v>
      </c>
      <c r="F50" s="1389" t="s">
        <v>1986</v>
      </c>
      <c r="G50" s="61" t="s">
        <v>1437</v>
      </c>
      <c r="H50" s="41" t="s">
        <v>1397</v>
      </c>
      <c r="I50" s="69"/>
      <c r="J50" s="69"/>
      <c r="K50" s="69"/>
      <c r="M50" s="589"/>
      <c r="O50" s="259">
        <f ca="1">VLOOKUP($D50,모델정보데이터!$AM$4:$BQ$398,3,0)</f>
        <v>3778</v>
      </c>
      <c r="P50" s="582" t="str">
        <f ca="1">VLOOKUP($D50,모델정보데이터!$AM$4:$BQ$398,4,0)</f>
        <v>M</v>
      </c>
      <c r="Q50" s="582">
        <f ca="1">VLOOKUP($D50,모델정보데이터!$AM$4:$BQ$398,5,0)</f>
        <v>8</v>
      </c>
      <c r="R50" s="582" t="str">
        <f ca="1">VLOOKUP($D50,모델정보데이터!$AM$4:$BQ$398,6,0)</f>
        <v>RV</v>
      </c>
      <c r="S50" s="582" t="str">
        <f ca="1">VLOOKUP($D50,모델정보데이터!$AM$4:$BQ$398,7,0)</f>
        <v>다인승</v>
      </c>
      <c r="T50" s="582" t="str">
        <f ca="1">VLOOKUP($D50,모델정보데이터!$AM$4:$BQ$398,15,0)</f>
        <v>A2</v>
      </c>
      <c r="U50" s="582" t="str">
        <f ca="1">VLOOKUP($D50,모델정보데이터!$AM$4:$BQ$398,16,0)</f>
        <v>A4</v>
      </c>
      <c r="V50" s="582" t="str">
        <f ca="1">VLOOKUP($D50,모델정보데이터!$AM$4:$BQ$398,8,0)</f>
        <v>7급</v>
      </c>
      <c r="W50" s="582" t="str">
        <f ca="1">VLOOKUP($D50,모델정보데이터!$AM$4:$BQ$398,9,0)</f>
        <v>02:울산</v>
      </c>
      <c r="X50" s="582" t="str">
        <f ca="1">VLOOKUP($D50,모델정보데이터!$AM$4:$BM$278,27,0)</f>
        <v>유림로지텍</v>
      </c>
      <c r="Y50" s="582" t="str">
        <f ca="1">VLOOKUP($D50,모델정보데이터!$AM$4:$BQ$398,11,0)</f>
        <v>D</v>
      </c>
      <c r="Z50" s="582" t="str">
        <f ca="1">VLOOKUP($D50,모델정보데이터!$AM$4:$BQ$398,18,0)</f>
        <v>공제조합</v>
      </c>
      <c r="AA50" s="582" t="str">
        <f ca="1">VLOOKUP($D50,모델정보데이터!$AM$4:$BQ$398,12,0)</f>
        <v>전략P</v>
      </c>
      <c r="AB50" s="583">
        <f ca="1">VLOOKUP($D50,모델정보데이터!$AM$4:$BQ$398,13,0)</f>
        <v>1.4999999999999999E-2</v>
      </c>
      <c r="AC50" s="582">
        <f ca="1">VLOOKUP($D50,모델정보데이터!$AM$4:$BQ$398,17,0)</f>
        <v>0</v>
      </c>
      <c r="AD50" s="582">
        <f ca="1">VLOOKUP($D50,모델정보데이터!$AM$4:$BQ$398,10,0)</f>
        <v>0</v>
      </c>
      <c r="AE50" s="582">
        <f ca="1">IFERROR(VLOOKUP(D50,모델정보데이터!$AM$3:$BD$278,27,0),0)</f>
        <v>0</v>
      </c>
      <c r="AF50" s="1134">
        <f ca="1">VLOOKUP($D50,모델정보데이터!$AM$4:$BQ$398,14,0)</f>
        <v>0</v>
      </c>
      <c r="AG50" s="260">
        <f ca="1">VLOOKUP($D50,모델정보데이터!AM:BQ,30,0)</f>
        <v>6.2E-2</v>
      </c>
      <c r="AH50" s="260">
        <f ca="1">VLOOKUP($D50,모델정보데이터!AM:BQ,31,0)</f>
        <v>5.5E-2</v>
      </c>
      <c r="AI50" s="260" t="str">
        <f ca="1">VLOOKUP($D50,모델정보데이터!AM:BQ,19,0)</f>
        <v>현대</v>
      </c>
      <c r="AJ50" s="69">
        <f ca="1">VLOOKUP($D50,모델정보데이터!AM:BQ,21,0)</f>
        <v>81000</v>
      </c>
      <c r="AK50" s="69">
        <f ca="1">VLOOKUP($D50,모델정보데이터!AM:BQ,22,0)</f>
        <v>291000</v>
      </c>
      <c r="AL50" s="69">
        <f ca="1">VLOOKUP($D50,모델정보데이터!AM:BQ,20,0)</f>
        <v>4.1000000000000002E-2</v>
      </c>
      <c r="AM50" s="69">
        <f ca="1">VLOOKUP($D50,모델정보데이터!AM:BQ,23,0)</f>
        <v>0</v>
      </c>
    </row>
    <row r="51" spans="2:39">
      <c r="B51" s="272"/>
      <c r="C51" s="1894" t="str">
        <f t="shared" ca="1" si="0"/>
        <v>팰리세이드 디젤 2.2 2WD (7인승)</v>
      </c>
      <c r="D51" s="269" t="str">
        <f ca="1">IF(OFFSET($D$2,49,$B$2)=0,"",OFFSET($D$2,49,$B$2))</f>
        <v>팰리세이드 디젤 2.2 2WD (7인승)</v>
      </c>
      <c r="E51" s="1385">
        <v>49</v>
      </c>
      <c r="F51" s="1389" t="s">
        <v>1987</v>
      </c>
      <c r="G51" s="69"/>
      <c r="H51" s="41" t="s">
        <v>1398</v>
      </c>
      <c r="I51" s="69"/>
      <c r="J51" s="69"/>
      <c r="K51" s="69"/>
      <c r="M51" s="589"/>
      <c r="O51" s="259">
        <f ca="1">VLOOKUP($D51,모델정보데이터!$AM$4:$BQ$398,3,0)</f>
        <v>2199</v>
      </c>
      <c r="P51" s="582" t="str">
        <f ca="1">VLOOKUP($D51,모델정보데이터!$AM$4:$BQ$398,4,0)</f>
        <v>D</v>
      </c>
      <c r="Q51" s="582">
        <f ca="1">VLOOKUP($D51,모델정보데이터!$AM$4:$BQ$398,5,0)</f>
        <v>7</v>
      </c>
      <c r="R51" s="582" t="str">
        <f ca="1">VLOOKUP($D51,모델정보데이터!$AM$4:$BQ$398,6,0)</f>
        <v>RV</v>
      </c>
      <c r="S51" s="582" t="str">
        <f ca="1">VLOOKUP($D51,모델정보데이터!$AM$4:$BQ$398,7,0)</f>
        <v>다인승</v>
      </c>
      <c r="T51" s="582" t="str">
        <f ca="1">VLOOKUP($D51,모델정보데이터!$AM$4:$BQ$398,15,0)</f>
        <v>A</v>
      </c>
      <c r="U51" s="582" t="str">
        <f ca="1">VLOOKUP($D51,모델정보데이터!$AM$4:$BQ$398,16,0)</f>
        <v>A4</v>
      </c>
      <c r="V51" s="582" t="str">
        <f ca="1">VLOOKUP($D51,모델정보데이터!$AM$4:$BQ$398,8,0)</f>
        <v>7급</v>
      </c>
      <c r="W51" s="582" t="str">
        <f ca="1">VLOOKUP($D51,모델정보데이터!$AM$4:$BQ$398,9,0)</f>
        <v>02:울산</v>
      </c>
      <c r="X51" s="582" t="str">
        <f ca="1">VLOOKUP($D51,모델정보데이터!$AM$4:$BM$278,27,0)</f>
        <v>유림로지텍</v>
      </c>
      <c r="Y51" s="582" t="str">
        <f ca="1">VLOOKUP($D51,모델정보데이터!$AM$4:$BQ$398,11,0)</f>
        <v>D</v>
      </c>
      <c r="Z51" s="582" t="str">
        <f ca="1">VLOOKUP($D51,모델정보데이터!$AM$4:$BQ$398,18,0)</f>
        <v>공제조합</v>
      </c>
      <c r="AA51" s="582" t="str">
        <f ca="1">VLOOKUP($D51,모델정보데이터!$AM$4:$BQ$398,12,0)</f>
        <v>전략P</v>
      </c>
      <c r="AB51" s="583">
        <f ca="1">VLOOKUP($D51,모델정보데이터!$AM$4:$BQ$398,13,0)</f>
        <v>1.4999999999999999E-2</v>
      </c>
      <c r="AC51" s="582">
        <f ca="1">VLOOKUP($D51,모델정보데이터!$AM$4:$BQ$398,17,0)</f>
        <v>0</v>
      </c>
      <c r="AD51" s="582">
        <f ca="1">VLOOKUP($D51,모델정보데이터!$AM$4:$BQ$398,10,0)</f>
        <v>0</v>
      </c>
      <c r="AE51" s="582">
        <f ca="1">IFERROR(VLOOKUP(D51,모델정보데이터!$AM$3:$BD$278,27,0),0)</f>
        <v>0</v>
      </c>
      <c r="AF51" s="1134">
        <f ca="1">VLOOKUP($D51,모델정보데이터!$AM$4:$BQ$398,14,0)</f>
        <v>0</v>
      </c>
      <c r="AG51" s="260">
        <f ca="1">VLOOKUP($D51,모델정보데이터!AM:BQ,30,0)</f>
        <v>6.2E-2</v>
      </c>
      <c r="AH51" s="260">
        <f ca="1">VLOOKUP($D51,모델정보데이터!AM:BQ,31,0)</f>
        <v>5.5E-2</v>
      </c>
      <c r="AI51" s="260" t="str">
        <f ca="1">VLOOKUP($D51,모델정보데이터!AM:BQ,19,0)</f>
        <v>현대</v>
      </c>
      <c r="AJ51" s="69">
        <f ca="1">VLOOKUP($D51,모델정보데이터!AM:BQ,21,0)</f>
        <v>81000</v>
      </c>
      <c r="AK51" s="69">
        <f ca="1">VLOOKUP($D51,모델정보데이터!AM:BQ,22,0)</f>
        <v>291000</v>
      </c>
      <c r="AL51" s="69">
        <f ca="1">VLOOKUP($D51,모델정보데이터!AM:BQ,20,0)</f>
        <v>4.1000000000000002E-2</v>
      </c>
      <c r="AM51" s="69">
        <f ca="1">VLOOKUP($D51,모델정보데이터!AM:BQ,23,0)</f>
        <v>0</v>
      </c>
    </row>
    <row r="52" spans="2:39">
      <c r="B52" s="272"/>
      <c r="C52" s="1894" t="str">
        <f t="shared" ca="1" si="0"/>
        <v>팰리세이드 디젤 2.2 2WD (8인승)</v>
      </c>
      <c r="D52" s="269" t="str">
        <f ca="1">IF(OFFSET($D$2,50,$B$2)=0,"",OFFSET($D$2,50,$B$2))</f>
        <v>팰리세이드 디젤 2.2 2WD (8인승)</v>
      </c>
      <c r="E52" s="1385">
        <v>50</v>
      </c>
      <c r="F52" s="1389" t="s">
        <v>1988</v>
      </c>
      <c r="G52" s="69"/>
      <c r="H52" s="41" t="s">
        <v>1399</v>
      </c>
      <c r="I52" s="69"/>
      <c r="J52" s="69"/>
      <c r="K52" s="69"/>
      <c r="O52" s="259">
        <f ca="1">VLOOKUP($D52,모델정보데이터!$AM$4:$BQ$398,3,0)</f>
        <v>2199</v>
      </c>
      <c r="P52" s="582" t="str">
        <f ca="1">VLOOKUP($D52,모델정보데이터!$AM$4:$BQ$398,4,0)</f>
        <v>D</v>
      </c>
      <c r="Q52" s="582">
        <f ca="1">VLOOKUP($D52,모델정보데이터!$AM$4:$BQ$398,5,0)</f>
        <v>8</v>
      </c>
      <c r="R52" s="582" t="str">
        <f ca="1">VLOOKUP($D52,모델정보데이터!$AM$4:$BQ$398,6,0)</f>
        <v>RV</v>
      </c>
      <c r="S52" s="582" t="str">
        <f ca="1">VLOOKUP($D52,모델정보데이터!$AM$4:$BQ$398,7,0)</f>
        <v>다인승</v>
      </c>
      <c r="T52" s="582" t="str">
        <f ca="1">VLOOKUP($D52,모델정보데이터!$AM$4:$BQ$398,15,0)</f>
        <v>A</v>
      </c>
      <c r="U52" s="582" t="str">
        <f ca="1">VLOOKUP($D52,모델정보데이터!$AM$4:$BQ$398,16,0)</f>
        <v>A4</v>
      </c>
      <c r="V52" s="582" t="str">
        <f ca="1">VLOOKUP($D52,모델정보데이터!$AM$4:$BQ$398,8,0)</f>
        <v>7급</v>
      </c>
      <c r="W52" s="582" t="str">
        <f ca="1">VLOOKUP($D52,모델정보데이터!$AM$4:$BQ$398,9,0)</f>
        <v>02:울산</v>
      </c>
      <c r="X52" s="582" t="str">
        <f ca="1">VLOOKUP($D52,모델정보데이터!$AM$4:$BM$278,27,0)</f>
        <v>유림로지텍</v>
      </c>
      <c r="Y52" s="582" t="str">
        <f ca="1">VLOOKUP($D52,모델정보데이터!$AM$4:$BQ$398,11,0)</f>
        <v>D</v>
      </c>
      <c r="Z52" s="582" t="str">
        <f ca="1">VLOOKUP($D52,모델정보데이터!$AM$4:$BQ$398,18,0)</f>
        <v>공제조합</v>
      </c>
      <c r="AA52" s="582" t="str">
        <f ca="1">VLOOKUP($D52,모델정보데이터!$AM$4:$BQ$398,12,0)</f>
        <v>전략P</v>
      </c>
      <c r="AB52" s="583">
        <f ca="1">VLOOKUP($D52,모델정보데이터!$AM$4:$BQ$398,13,0)</f>
        <v>1.4999999999999999E-2</v>
      </c>
      <c r="AC52" s="582">
        <f ca="1">VLOOKUP($D52,모델정보데이터!$AM$4:$BQ$398,17,0)</f>
        <v>0</v>
      </c>
      <c r="AD52" s="582">
        <f ca="1">VLOOKUP($D52,모델정보데이터!$AM$4:$BQ$398,10,0)</f>
        <v>0</v>
      </c>
      <c r="AE52" s="582">
        <f ca="1">IFERROR(VLOOKUP(D52,모델정보데이터!$AM$3:$BD$278,27,0),0)</f>
        <v>0</v>
      </c>
      <c r="AF52" s="1134">
        <f ca="1">VLOOKUP($D52,모델정보데이터!$AM$4:$BQ$398,14,0)</f>
        <v>0</v>
      </c>
      <c r="AG52" s="260">
        <f ca="1">VLOOKUP($D52,모델정보데이터!AM:BQ,30,0)</f>
        <v>6.2E-2</v>
      </c>
      <c r="AH52" s="260">
        <f ca="1">VLOOKUP($D52,모델정보데이터!AM:BQ,31,0)</f>
        <v>5.5E-2</v>
      </c>
      <c r="AI52" s="260" t="str">
        <f ca="1">VLOOKUP($D52,모델정보데이터!AM:BQ,19,0)</f>
        <v>현대</v>
      </c>
      <c r="AJ52" s="69">
        <f ca="1">VLOOKUP($D52,모델정보데이터!AM:BQ,21,0)</f>
        <v>81000</v>
      </c>
      <c r="AK52" s="69">
        <f ca="1">VLOOKUP($D52,모델정보데이터!AM:BQ,22,0)</f>
        <v>291000</v>
      </c>
      <c r="AL52" s="69">
        <f ca="1">VLOOKUP($D52,모델정보데이터!AM:BQ,20,0)</f>
        <v>4.1000000000000002E-2</v>
      </c>
      <c r="AM52" s="69">
        <f ca="1">VLOOKUP($D52,모델정보데이터!AM:BQ,23,0)</f>
        <v>0</v>
      </c>
    </row>
    <row r="53" spans="2:39">
      <c r="B53" s="272"/>
      <c r="C53" s="1894" t="str">
        <f t="shared" ca="1" si="0"/>
        <v>팰리세이드 디젤 2.2 4WD (7인승)</v>
      </c>
      <c r="D53" s="269" t="str">
        <f ca="1">IF(OFFSET($D$2,51,$B$2)=0,"",OFFSET($D$2,51,$B$2))</f>
        <v>팰리세이드 디젤 2.2 4WD (7인승)</v>
      </c>
      <c r="E53" s="1385">
        <v>51</v>
      </c>
      <c r="F53" s="1389" t="s">
        <v>1989</v>
      </c>
      <c r="G53" s="69"/>
      <c r="H53" s="41" t="s">
        <v>1400</v>
      </c>
      <c r="I53" s="69"/>
      <c r="J53" s="69"/>
      <c r="K53" s="69"/>
      <c r="O53" s="259">
        <f ca="1">VLOOKUP($D53,모델정보데이터!$AM$4:$BQ$398,3,0)</f>
        <v>2199</v>
      </c>
      <c r="P53" s="582" t="str">
        <f ca="1">VLOOKUP($D53,모델정보데이터!$AM$4:$BQ$398,4,0)</f>
        <v>D</v>
      </c>
      <c r="Q53" s="582">
        <f ca="1">VLOOKUP($D53,모델정보데이터!$AM$4:$BQ$398,5,0)</f>
        <v>7</v>
      </c>
      <c r="R53" s="582" t="str">
        <f ca="1">VLOOKUP($D53,모델정보데이터!$AM$4:$BQ$398,6,0)</f>
        <v>RV</v>
      </c>
      <c r="S53" s="582" t="str">
        <f ca="1">VLOOKUP($D53,모델정보데이터!$AM$4:$BQ$398,7,0)</f>
        <v>다인승</v>
      </c>
      <c r="T53" s="582" t="str">
        <f ca="1">VLOOKUP($D53,모델정보데이터!$AM$4:$BQ$398,15,0)</f>
        <v>A</v>
      </c>
      <c r="U53" s="582" t="str">
        <f ca="1">VLOOKUP($D53,모델정보데이터!$AM$4:$BQ$398,16,0)</f>
        <v>A4</v>
      </c>
      <c r="V53" s="582" t="str">
        <f ca="1">VLOOKUP($D53,모델정보데이터!$AM$4:$BQ$398,8,0)</f>
        <v>7급</v>
      </c>
      <c r="W53" s="582" t="str">
        <f ca="1">VLOOKUP($D53,모델정보데이터!$AM$4:$BQ$398,9,0)</f>
        <v>02:울산</v>
      </c>
      <c r="X53" s="582" t="str">
        <f ca="1">VLOOKUP($D53,모델정보데이터!$AM$4:$BM$278,27,0)</f>
        <v>유림로지텍</v>
      </c>
      <c r="Y53" s="582" t="str">
        <f ca="1">VLOOKUP($D53,모델정보데이터!$AM$4:$BQ$398,11,0)</f>
        <v>D</v>
      </c>
      <c r="Z53" s="582" t="str">
        <f ca="1">VLOOKUP($D53,모델정보데이터!$AM$4:$BQ$398,18,0)</f>
        <v>공제조합</v>
      </c>
      <c r="AA53" s="582" t="str">
        <f ca="1">VLOOKUP($D53,모델정보데이터!$AM$4:$BQ$398,12,0)</f>
        <v>전략P</v>
      </c>
      <c r="AB53" s="583">
        <f ca="1">VLOOKUP($D53,모델정보데이터!$AM$4:$BQ$398,13,0)</f>
        <v>1.4999999999999999E-2</v>
      </c>
      <c r="AC53" s="582">
        <f ca="1">VLOOKUP($D53,모델정보데이터!$AM$4:$BQ$398,17,0)</f>
        <v>0</v>
      </c>
      <c r="AD53" s="582">
        <f ca="1">VLOOKUP($D53,모델정보데이터!$AM$4:$BQ$398,10,0)</f>
        <v>0</v>
      </c>
      <c r="AE53" s="582">
        <f ca="1">IFERROR(VLOOKUP(D53,모델정보데이터!$AM$3:$BD$278,27,0),0)</f>
        <v>0</v>
      </c>
      <c r="AF53" s="1134">
        <f ca="1">VLOOKUP($D53,모델정보데이터!$AM$4:$BQ$398,14,0)</f>
        <v>0</v>
      </c>
      <c r="AG53" s="260">
        <f ca="1">VLOOKUP($D53,모델정보데이터!AM:BQ,30,0)</f>
        <v>6.2E-2</v>
      </c>
      <c r="AH53" s="260">
        <f ca="1">VLOOKUP($D53,모델정보데이터!AM:BQ,31,0)</f>
        <v>5.5E-2</v>
      </c>
      <c r="AI53" s="260" t="str">
        <f ca="1">VLOOKUP($D53,모델정보데이터!AM:BQ,19,0)</f>
        <v>현대</v>
      </c>
      <c r="AJ53" s="69">
        <f ca="1">VLOOKUP($D53,모델정보데이터!AM:BQ,21,0)</f>
        <v>81000</v>
      </c>
      <c r="AK53" s="69">
        <f ca="1">VLOOKUP($D53,모델정보데이터!AM:BQ,22,0)</f>
        <v>291000</v>
      </c>
      <c r="AL53" s="69">
        <f ca="1">VLOOKUP($D53,모델정보데이터!AM:BQ,20,0)</f>
        <v>4.1000000000000002E-2</v>
      </c>
      <c r="AM53" s="69">
        <f ca="1">VLOOKUP($D53,모델정보데이터!AM:BQ,23,0)</f>
        <v>0</v>
      </c>
    </row>
    <row r="54" spans="2:39">
      <c r="B54" s="272"/>
      <c r="C54" s="1894" t="str">
        <f t="shared" ca="1" si="0"/>
        <v>팰리세이드 디젤 2.2 4WD (8인승)</v>
      </c>
      <c r="D54" s="269" t="str">
        <f ca="1">IF(OFFSET($D$2,52,$B$2)=0,"",OFFSET($D$2,52,$B$2))</f>
        <v>팰리세이드 디젤 2.2 4WD (8인승)</v>
      </c>
      <c r="E54" s="1385">
        <v>52</v>
      </c>
      <c r="F54" s="1389" t="s">
        <v>1990</v>
      </c>
      <c r="G54" s="69"/>
      <c r="H54" s="41" t="s">
        <v>1401</v>
      </c>
      <c r="I54" s="69"/>
      <c r="J54" s="69"/>
      <c r="K54" s="69"/>
      <c r="O54" s="259">
        <f ca="1">VLOOKUP($D54,모델정보데이터!$AM$4:$BQ$398,3,0)</f>
        <v>2199</v>
      </c>
      <c r="P54" s="582" t="str">
        <f ca="1">VLOOKUP($D54,모델정보데이터!$AM$4:$BQ$398,4,0)</f>
        <v>D</v>
      </c>
      <c r="Q54" s="582">
        <f ca="1">VLOOKUP($D54,모델정보데이터!$AM$4:$BQ$398,5,0)</f>
        <v>8</v>
      </c>
      <c r="R54" s="582" t="str">
        <f ca="1">VLOOKUP($D54,모델정보데이터!$AM$4:$BQ$398,6,0)</f>
        <v>RV</v>
      </c>
      <c r="S54" s="582" t="str">
        <f ca="1">VLOOKUP($D54,모델정보데이터!$AM$4:$BQ$398,7,0)</f>
        <v>다인승</v>
      </c>
      <c r="T54" s="582" t="str">
        <f ca="1">VLOOKUP($D54,모델정보데이터!$AM$4:$BQ$398,15,0)</f>
        <v>A</v>
      </c>
      <c r="U54" s="582" t="str">
        <f ca="1">VLOOKUP($D54,모델정보데이터!$AM$4:$BQ$398,16,0)</f>
        <v>A4</v>
      </c>
      <c r="V54" s="582" t="str">
        <f ca="1">VLOOKUP($D54,모델정보데이터!$AM$4:$BQ$398,8,0)</f>
        <v>7급</v>
      </c>
      <c r="W54" s="582" t="str">
        <f ca="1">VLOOKUP($D54,모델정보데이터!$AM$4:$BQ$398,9,0)</f>
        <v>02:울산</v>
      </c>
      <c r="X54" s="582" t="str">
        <f ca="1">VLOOKUP($D54,모델정보데이터!$AM$4:$BM$278,27,0)</f>
        <v>유림로지텍</v>
      </c>
      <c r="Y54" s="582" t="str">
        <f ca="1">VLOOKUP($D54,모델정보데이터!$AM$4:$BQ$398,11,0)</f>
        <v>D</v>
      </c>
      <c r="Z54" s="582" t="str">
        <f ca="1">VLOOKUP($D54,모델정보데이터!$AM$4:$BQ$398,18,0)</f>
        <v>공제조합</v>
      </c>
      <c r="AA54" s="582" t="str">
        <f ca="1">VLOOKUP($D54,모델정보데이터!$AM$4:$BQ$398,12,0)</f>
        <v>전략P</v>
      </c>
      <c r="AB54" s="583">
        <f ca="1">VLOOKUP($D54,모델정보데이터!$AM$4:$BQ$398,13,0)</f>
        <v>1.4999999999999999E-2</v>
      </c>
      <c r="AC54" s="582">
        <f ca="1">VLOOKUP($D54,모델정보데이터!$AM$4:$BQ$398,17,0)</f>
        <v>0</v>
      </c>
      <c r="AD54" s="582">
        <f ca="1">VLOOKUP($D54,모델정보데이터!$AM$4:$BQ$398,10,0)</f>
        <v>0</v>
      </c>
      <c r="AE54" s="582">
        <f ca="1">IFERROR(VLOOKUP(D54,모델정보데이터!$AM$3:$BD$278,27,0),0)</f>
        <v>0</v>
      </c>
      <c r="AF54" s="1134">
        <f ca="1">VLOOKUP($D54,모델정보데이터!$AM$4:$BQ$398,14,0)</f>
        <v>0</v>
      </c>
      <c r="AG54" s="260">
        <f ca="1">VLOOKUP($D54,모델정보데이터!AM:BQ,30,0)</f>
        <v>6.2E-2</v>
      </c>
      <c r="AH54" s="260">
        <f ca="1">VLOOKUP($D54,모델정보데이터!AM:BQ,31,0)</f>
        <v>5.5E-2</v>
      </c>
      <c r="AI54" s="260" t="str">
        <f ca="1">VLOOKUP($D54,모델정보데이터!AM:BQ,19,0)</f>
        <v>현대</v>
      </c>
      <c r="AJ54" s="69">
        <f ca="1">VLOOKUP($D54,모델정보데이터!AM:BQ,21,0)</f>
        <v>81000</v>
      </c>
      <c r="AK54" s="69">
        <f ca="1">VLOOKUP($D54,모델정보데이터!AM:BQ,22,0)</f>
        <v>291000</v>
      </c>
      <c r="AL54" s="69">
        <f ca="1">VLOOKUP($D54,모델정보데이터!AM:BQ,20,0)</f>
        <v>4.1000000000000002E-2</v>
      </c>
      <c r="AM54" s="69">
        <f ca="1">VLOOKUP($D54,모델정보데이터!AM:BQ,23,0)</f>
        <v>0</v>
      </c>
    </row>
    <row r="55" spans="2:39">
      <c r="B55" s="272"/>
      <c r="C55" s="1894" t="str">
        <f t="shared" ca="1" si="0"/>
        <v>——————————◆스타리아◆————————————————</v>
      </c>
      <c r="D55" s="269" t="str">
        <f ca="1">IF(OFFSET($D$2,53,$B$2)=0,"",OFFSET($D$2,53,$B$2))</f>
        <v>——————————◆스타리아◆————————————————</v>
      </c>
      <c r="E55" s="1385">
        <v>53</v>
      </c>
      <c r="F55" s="41" t="s">
        <v>973</v>
      </c>
      <c r="G55" s="69"/>
      <c r="H55" s="41" t="s">
        <v>1402</v>
      </c>
      <c r="I55" s="69"/>
      <c r="J55" s="69"/>
      <c r="K55" s="69"/>
      <c r="O55" s="259" t="e">
        <f ca="1">VLOOKUP($D55,모델정보데이터!$AM$4:$BQ$398,3,0)</f>
        <v>#N/A</v>
      </c>
      <c r="P55" s="582" t="e">
        <f ca="1">VLOOKUP($D55,모델정보데이터!$AM$4:$BQ$398,4,0)</f>
        <v>#N/A</v>
      </c>
      <c r="Q55" s="582" t="e">
        <f ca="1">VLOOKUP($D55,모델정보데이터!$AM$4:$BQ$398,5,0)</f>
        <v>#N/A</v>
      </c>
      <c r="R55" s="582" t="e">
        <f ca="1">VLOOKUP($D55,모델정보데이터!$AM$4:$BQ$398,6,0)</f>
        <v>#N/A</v>
      </c>
      <c r="S55" s="582" t="e">
        <f ca="1">VLOOKUP($D55,모델정보데이터!$AM$4:$BQ$398,7,0)</f>
        <v>#N/A</v>
      </c>
      <c r="T55" s="582" t="e">
        <f ca="1">VLOOKUP($D55,모델정보데이터!$AM$4:$BQ$398,15,0)</f>
        <v>#N/A</v>
      </c>
      <c r="U55" s="582" t="e">
        <f ca="1">VLOOKUP($D55,모델정보데이터!$AM$4:$BQ$398,16,0)</f>
        <v>#N/A</v>
      </c>
      <c r="V55" s="582" t="e">
        <f ca="1">VLOOKUP($D55,모델정보데이터!$AM$4:$BQ$398,8,0)</f>
        <v>#N/A</v>
      </c>
      <c r="W55" s="582" t="e">
        <f ca="1">VLOOKUP($D55,모델정보데이터!$AM$4:$BQ$398,9,0)</f>
        <v>#N/A</v>
      </c>
      <c r="X55" s="582" t="e">
        <f ca="1">VLOOKUP($D55,모델정보데이터!$AM$4:$BM$278,27,0)</f>
        <v>#N/A</v>
      </c>
      <c r="Y55" s="582" t="e">
        <f ca="1">VLOOKUP($D55,모델정보데이터!$AM$4:$BQ$398,11,0)</f>
        <v>#N/A</v>
      </c>
      <c r="Z55" s="582" t="e">
        <f ca="1">VLOOKUP($D55,모델정보데이터!$AM$4:$BQ$398,18,0)</f>
        <v>#N/A</v>
      </c>
      <c r="AA55" s="582" t="e">
        <f ca="1">VLOOKUP($D55,모델정보데이터!$AM$4:$BQ$398,12,0)</f>
        <v>#N/A</v>
      </c>
      <c r="AB55" s="583" t="e">
        <f ca="1">VLOOKUP($D55,모델정보데이터!$AM$4:$BQ$398,13,0)</f>
        <v>#N/A</v>
      </c>
      <c r="AC55" s="582" t="e">
        <f ca="1">VLOOKUP($D55,모델정보데이터!$AM$4:$BQ$398,17,0)</f>
        <v>#N/A</v>
      </c>
      <c r="AD55" s="582" t="e">
        <f ca="1">VLOOKUP($D55,모델정보데이터!$AM$4:$BQ$398,10,0)</f>
        <v>#N/A</v>
      </c>
      <c r="AE55" s="582">
        <f ca="1">IFERROR(VLOOKUP(D55,모델정보데이터!$AM$3:$BD$278,27,0),0)</f>
        <v>0</v>
      </c>
      <c r="AF55" s="1134" t="e">
        <f ca="1">VLOOKUP($D55,모델정보데이터!$AM$4:$BQ$398,14,0)</f>
        <v>#N/A</v>
      </c>
      <c r="AG55" s="260" t="e">
        <f ca="1">VLOOKUP($D55,모델정보데이터!AM:BQ,30,0)</f>
        <v>#N/A</v>
      </c>
      <c r="AH55" s="260" t="e">
        <f ca="1">VLOOKUP($D55,모델정보데이터!AM:BQ,31,0)</f>
        <v>#N/A</v>
      </c>
      <c r="AI55" s="260" t="e">
        <f ca="1">VLOOKUP($D55,모델정보데이터!AM:BQ,19,0)</f>
        <v>#N/A</v>
      </c>
      <c r="AJ55" s="69" t="e">
        <f ca="1">VLOOKUP($D55,모델정보데이터!AM:BQ,21,0)</f>
        <v>#N/A</v>
      </c>
      <c r="AK55" s="69" t="e">
        <f ca="1">VLOOKUP($D55,모델정보데이터!AM:BQ,22,0)</f>
        <v>#N/A</v>
      </c>
      <c r="AL55" s="69" t="e">
        <f ca="1">VLOOKUP($D55,모델정보데이터!AM:BQ,20,0)</f>
        <v>#N/A</v>
      </c>
      <c r="AM55" s="69" t="e">
        <f ca="1">VLOOKUP($D55,모델정보데이터!AM:BQ,23,0)</f>
        <v>#N/A</v>
      </c>
    </row>
    <row r="56" spans="2:39" ht="15" customHeight="1">
      <c r="B56" s="272"/>
      <c r="C56" s="1894" t="str">
        <f t="shared" ca="1" si="0"/>
        <v>스타리아 가솔린 터보 1.6 하이브리드 투어러 11인승 2WD</v>
      </c>
      <c r="D56" s="269" t="str">
        <f ca="1">IF(OFFSET($D$2,54,$B$2)=0,"",OFFSET($D$2,54,$B$2))</f>
        <v>스타리아 가솔린 터보 1.6 하이브리드 투어러 11인승 2WD</v>
      </c>
      <c r="E56" s="1385">
        <v>54</v>
      </c>
      <c r="F56" s="41" t="s">
        <v>1382</v>
      </c>
      <c r="G56" s="69"/>
      <c r="H56" s="41" t="s">
        <v>1403</v>
      </c>
      <c r="I56" s="69"/>
      <c r="J56" s="69"/>
      <c r="O56" s="259">
        <f ca="1">VLOOKUP($D56,모델정보데이터!$AM$4:$BQ$398,3,0)</f>
        <v>1598</v>
      </c>
      <c r="P56" s="582" t="str">
        <f ca="1">VLOOKUP($D56,모델정보데이터!$AM$4:$BQ$398,4,0)</f>
        <v>V</v>
      </c>
      <c r="Q56" s="582">
        <f ca="1">VLOOKUP($D56,모델정보데이터!$AM$4:$BQ$398,5,0)</f>
        <v>11</v>
      </c>
      <c r="R56" s="582" t="str">
        <f ca="1">VLOOKUP($D56,모델정보데이터!$AM$4:$BQ$398,6,0)</f>
        <v>승합</v>
      </c>
      <c r="S56" s="582" t="str">
        <f ca="1">VLOOKUP($D56,모델정보데이터!$AM$4:$BQ$398,7,0)</f>
        <v>승합</v>
      </c>
      <c r="T56" s="582" t="str">
        <f ca="1">VLOOKUP($D56,모델정보데이터!$AM$4:$BQ$398,15,0)</f>
        <v>H</v>
      </c>
      <c r="U56" s="582" t="str">
        <f ca="1">VLOOKUP($D56,모델정보데이터!$AM$4:$BQ$398,16,0)</f>
        <v>A</v>
      </c>
      <c r="V56" s="582" t="str">
        <f ca="1">VLOOKUP($D56,모델정보데이터!$AM$4:$BQ$398,8,0)</f>
        <v>8급</v>
      </c>
      <c r="W56" s="582" t="str">
        <f ca="1">VLOOKUP($D56,모델정보데이터!$AM$4:$BQ$398,9,0)</f>
        <v>02:울산</v>
      </c>
      <c r="X56" s="582" t="str">
        <f ca="1">VLOOKUP($D56,모델정보데이터!$AM$4:$BM$278,27,0)</f>
        <v>유림로지텍</v>
      </c>
      <c r="Y56" s="582" t="str">
        <f ca="1">VLOOKUP($D56,모델정보데이터!$AM$4:$BQ$398,11,0)</f>
        <v>D</v>
      </c>
      <c r="Z56" s="582" t="str">
        <f ca="1">VLOOKUP($D56,모델정보데이터!$AM$4:$BQ$398,18,0)</f>
        <v>KB손보</v>
      </c>
      <c r="AA56" s="582" t="str">
        <f ca="1">VLOOKUP($D56,모델정보데이터!$AM$4:$BQ$398,12,0)</f>
        <v>일반</v>
      </c>
      <c r="AB56" s="583">
        <f ca="1">VLOOKUP($D56,모델정보데이터!$AM$4:$BQ$398,13,0)</f>
        <v>2.5000000000000001E-2</v>
      </c>
      <c r="AC56" s="582">
        <f ca="1">VLOOKUP($D56,모델정보데이터!$AM$4:$BQ$398,17,0)</f>
        <v>0</v>
      </c>
      <c r="AD56" s="582">
        <f ca="1">VLOOKUP($D56,모델정보데이터!$AM$4:$BQ$398,10,0)</f>
        <v>0</v>
      </c>
      <c r="AE56" s="582">
        <f ca="1">IFERROR(VLOOKUP(D56,모델정보데이터!$AM$3:$BD$278,27,0),0)</f>
        <v>0</v>
      </c>
      <c r="AF56" s="1134">
        <f ca="1">VLOOKUP($D56,모델정보데이터!$AM$4:$BQ$398,14,0)</f>
        <v>0</v>
      </c>
      <c r="AG56" s="260">
        <f ca="1">VLOOKUP($D56,모델정보데이터!AM:BQ,30,0)</f>
        <v>9.2999999999999999E-2</v>
      </c>
      <c r="AH56" s="260">
        <f ca="1">VLOOKUP($D56,모델정보데이터!AM:BQ,31,0)</f>
        <v>8.5999999999999993E-2</v>
      </c>
      <c r="AI56" s="260" t="str">
        <f ca="1">VLOOKUP($D56,모델정보데이터!AM:BQ,19,0)</f>
        <v>현대</v>
      </c>
      <c r="AJ56" s="69">
        <f ca="1">VLOOKUP($D56,모델정보데이터!AM:BQ,21,0)</f>
        <v>88000</v>
      </c>
      <c r="AK56" s="69">
        <f ca="1">VLOOKUP($D56,모델정보데이터!AM:BQ,22,0)</f>
        <v>312000</v>
      </c>
      <c r="AL56" s="69">
        <f ca="1">VLOOKUP($D56,모델정보데이터!AM:BQ,20,0)</f>
        <v>4.1000000000000002E-2</v>
      </c>
      <c r="AM56" s="69">
        <f ca="1">VLOOKUP($D56,모델정보데이터!AM:BQ,23,0)</f>
        <v>0</v>
      </c>
    </row>
    <row r="57" spans="2:39">
      <c r="B57" s="272"/>
      <c r="C57" s="1894" t="str">
        <f t="shared" ca="1" si="0"/>
        <v>스타리아 가솔린 터보 1.6 하이브리드 투어러 9인승 2WD</v>
      </c>
      <c r="D57" s="269" t="str">
        <f ca="1">IF(OFFSET($D$2,55,$B$2)=0,"",OFFSET($D$2,55,$B$2))</f>
        <v>스타리아 가솔린 터보 1.6 하이브리드 투어러 9인승 2WD</v>
      </c>
      <c r="E57" s="1385">
        <v>55</v>
      </c>
      <c r="F57" s="41" t="s">
        <v>1383</v>
      </c>
      <c r="G57" s="69"/>
      <c r="H57" s="41" t="s">
        <v>1404</v>
      </c>
      <c r="I57" s="69"/>
      <c r="J57" s="69"/>
      <c r="K57" s="69"/>
      <c r="O57" s="259">
        <f ca="1">VLOOKUP($D57,모델정보데이터!$AM$4:$BQ$398,3,0)</f>
        <v>1598</v>
      </c>
      <c r="P57" s="582" t="str">
        <f ca="1">VLOOKUP($D57,모델정보데이터!$AM$4:$BQ$398,4,0)</f>
        <v>V</v>
      </c>
      <c r="Q57" s="582">
        <f ca="1">VLOOKUP($D57,모델정보데이터!$AM$4:$BQ$398,5,0)</f>
        <v>9</v>
      </c>
      <c r="R57" s="582" t="str">
        <f ca="1">VLOOKUP($D57,모델정보데이터!$AM$4:$BQ$398,6,0)</f>
        <v>RV</v>
      </c>
      <c r="S57" s="582" t="str">
        <f ca="1">VLOOKUP($D57,모델정보데이터!$AM$4:$BQ$398,7,0)</f>
        <v>다인승</v>
      </c>
      <c r="T57" s="582" t="str">
        <f ca="1">VLOOKUP($D57,모델정보데이터!$AM$4:$BQ$398,15,0)</f>
        <v>H</v>
      </c>
      <c r="U57" s="582" t="str">
        <f ca="1">VLOOKUP($D57,모델정보데이터!$AM$4:$BQ$398,16,0)</f>
        <v>A</v>
      </c>
      <c r="V57" s="582" t="str">
        <f ca="1">VLOOKUP($D57,모델정보데이터!$AM$4:$BQ$398,8,0)</f>
        <v>7급</v>
      </c>
      <c r="W57" s="582" t="str">
        <f ca="1">VLOOKUP($D57,모델정보데이터!$AM$4:$BQ$398,9,0)</f>
        <v>02:울산</v>
      </c>
      <c r="X57" s="582" t="str">
        <f ca="1">VLOOKUP($D57,모델정보데이터!$AM$4:$BM$278,27,0)</f>
        <v>유림로지텍</v>
      </c>
      <c r="Y57" s="582" t="str">
        <f ca="1">VLOOKUP($D57,모델정보데이터!$AM$4:$BQ$398,11,0)</f>
        <v>D</v>
      </c>
      <c r="Z57" s="582" t="str">
        <f ca="1">VLOOKUP($D57,모델정보데이터!$AM$4:$BQ$398,18,0)</f>
        <v>KB손보</v>
      </c>
      <c r="AA57" s="582" t="str">
        <f ca="1">VLOOKUP($D57,모델정보데이터!$AM$4:$BQ$398,12,0)</f>
        <v>일반</v>
      </c>
      <c r="AB57" s="583">
        <f ca="1">VLOOKUP($D57,모델정보데이터!$AM$4:$BQ$398,13,0)</f>
        <v>2.5000000000000001E-2</v>
      </c>
      <c r="AC57" s="582">
        <f ca="1">VLOOKUP($D57,모델정보데이터!$AM$4:$BQ$398,17,0)</f>
        <v>0</v>
      </c>
      <c r="AD57" s="582">
        <f ca="1">VLOOKUP($D57,모델정보데이터!$AM$4:$BQ$398,10,0)</f>
        <v>0</v>
      </c>
      <c r="AE57" s="582">
        <f ca="1">IFERROR(VLOOKUP(D57,모델정보데이터!$AM$3:$BD$278,27,0),0)</f>
        <v>0</v>
      </c>
      <c r="AF57" s="1134">
        <f ca="1">VLOOKUP($D57,모델정보데이터!$AM$4:$BQ$398,14,0)</f>
        <v>0</v>
      </c>
      <c r="AG57" s="260">
        <f ca="1">VLOOKUP($D57,모델정보데이터!AM:BQ,30,0)</f>
        <v>9.2999999999999999E-2</v>
      </c>
      <c r="AH57" s="260">
        <f ca="1">VLOOKUP($D57,모델정보데이터!AM:BQ,31,0)</f>
        <v>8.5999999999999993E-2</v>
      </c>
      <c r="AI57" s="260" t="str">
        <f ca="1">VLOOKUP($D57,모델정보데이터!AM:BQ,19,0)</f>
        <v>현대</v>
      </c>
      <c r="AJ57" s="69">
        <f ca="1">VLOOKUP($D57,모델정보데이터!AM:BQ,21,0)</f>
        <v>88000</v>
      </c>
      <c r="AK57" s="69">
        <f ca="1">VLOOKUP($D57,모델정보데이터!AM:BQ,22,0)</f>
        <v>312000</v>
      </c>
      <c r="AL57" s="69">
        <f ca="1">VLOOKUP($D57,모델정보데이터!AM:BQ,20,0)</f>
        <v>4.1000000000000002E-2</v>
      </c>
      <c r="AM57" s="69">
        <f ca="1">VLOOKUP($D57,모델정보데이터!AM:BQ,23,0)</f>
        <v>0</v>
      </c>
    </row>
    <row r="58" spans="2:39">
      <c r="B58" s="272"/>
      <c r="C58" s="1894" t="str">
        <f t="shared" ca="1" si="0"/>
        <v>스타리아 디젤 2.2 투어러 9인승 2WD</v>
      </c>
      <c r="D58" s="269" t="str">
        <f ca="1">IF(OFFSET($D$2,56,$B$2)=0,"",OFFSET($D$2,56,$B$2))</f>
        <v>스타리아 디젤 2.2 투어러 9인승 2WD</v>
      </c>
      <c r="E58" s="1385">
        <v>56</v>
      </c>
      <c r="F58" s="41" t="s">
        <v>1056</v>
      </c>
      <c r="G58" s="69"/>
      <c r="H58" s="41" t="s">
        <v>1405</v>
      </c>
      <c r="I58" s="69"/>
      <c r="J58" s="69"/>
      <c r="K58" s="69"/>
      <c r="O58" s="259">
        <f ca="1">VLOOKUP($D58,모델정보데이터!$AM$4:$BQ$398,3,0)</f>
        <v>2199</v>
      </c>
      <c r="P58" s="582" t="str">
        <f ca="1">VLOOKUP($D58,모델정보데이터!$AM$4:$BQ$398,4,0)</f>
        <v>D</v>
      </c>
      <c r="Q58" s="582">
        <f ca="1">VLOOKUP($D58,모델정보데이터!$AM$4:$BQ$398,5,0)</f>
        <v>9</v>
      </c>
      <c r="R58" s="582" t="str">
        <f ca="1">VLOOKUP($D58,모델정보데이터!$AM$4:$BQ$398,6,0)</f>
        <v>RV</v>
      </c>
      <c r="S58" s="582" t="str">
        <f ca="1">VLOOKUP($D58,모델정보데이터!$AM$4:$BQ$398,7,0)</f>
        <v>다인승</v>
      </c>
      <c r="T58" s="582" t="str">
        <f ca="1">VLOOKUP($D58,모델정보데이터!$AM$4:$BQ$398,15,0)</f>
        <v>H</v>
      </c>
      <c r="U58" s="582" t="str">
        <f ca="1">VLOOKUP($D58,모델정보데이터!$AM$4:$BQ$398,16,0)</f>
        <v>A</v>
      </c>
      <c r="V58" s="582" t="str">
        <f ca="1">VLOOKUP($D58,모델정보데이터!$AM$4:$BQ$398,8,0)</f>
        <v>7급</v>
      </c>
      <c r="W58" s="582" t="str">
        <f ca="1">VLOOKUP($D58,모델정보데이터!$AM$4:$BQ$398,9,0)</f>
        <v>02:울산</v>
      </c>
      <c r="X58" s="582" t="str">
        <f ca="1">VLOOKUP($D58,모델정보데이터!$AM$4:$BM$278,27,0)</f>
        <v>유림로지텍</v>
      </c>
      <c r="Y58" s="582" t="str">
        <f ca="1">VLOOKUP($D58,모델정보데이터!$AM$4:$BQ$398,11,0)</f>
        <v>D</v>
      </c>
      <c r="Z58" s="582" t="str">
        <f ca="1">VLOOKUP($D58,모델정보데이터!$AM$4:$BQ$398,18,0)</f>
        <v>KB손보</v>
      </c>
      <c r="AA58" s="582" t="str">
        <f ca="1">VLOOKUP($D58,모델정보데이터!$AM$4:$BQ$398,12,0)</f>
        <v>일반</v>
      </c>
      <c r="AB58" s="583">
        <f ca="1">VLOOKUP($D58,모델정보데이터!$AM$4:$BQ$398,13,0)</f>
        <v>2.5000000000000001E-2</v>
      </c>
      <c r="AC58" s="582">
        <f ca="1">VLOOKUP($D58,모델정보데이터!$AM$4:$BQ$398,17,0)</f>
        <v>0</v>
      </c>
      <c r="AD58" s="582">
        <f ca="1">VLOOKUP($D58,모델정보데이터!$AM$4:$BQ$398,10,0)</f>
        <v>0</v>
      </c>
      <c r="AE58" s="582">
        <f ca="1">IFERROR(VLOOKUP(D58,모델정보데이터!$AM$3:$BD$278,27,0),0)</f>
        <v>0</v>
      </c>
      <c r="AF58" s="1134">
        <f ca="1">VLOOKUP($D58,모델정보데이터!$AM$4:$BQ$398,14,0)</f>
        <v>0</v>
      </c>
      <c r="AG58" s="260">
        <f ca="1">VLOOKUP($D58,모델정보데이터!AM:BQ,30,0)</f>
        <v>9.2999999999999999E-2</v>
      </c>
      <c r="AH58" s="260">
        <f ca="1">VLOOKUP($D58,모델정보데이터!AM:BQ,31,0)</f>
        <v>8.5999999999999993E-2</v>
      </c>
      <c r="AI58" s="260" t="str">
        <f ca="1">VLOOKUP($D58,모델정보데이터!AM:BQ,19,0)</f>
        <v>현대</v>
      </c>
      <c r="AJ58" s="69">
        <f ca="1">VLOOKUP($D58,모델정보데이터!AM:BQ,21,0)</f>
        <v>88000</v>
      </c>
      <c r="AK58" s="69">
        <f ca="1">VLOOKUP($D58,모델정보데이터!AM:BQ,22,0)</f>
        <v>312000</v>
      </c>
      <c r="AL58" s="69">
        <f ca="1">VLOOKUP($D58,모델정보데이터!AM:BQ,20,0)</f>
        <v>4.1000000000000002E-2</v>
      </c>
      <c r="AM58" s="69">
        <f ca="1">VLOOKUP($D58,모델정보데이터!AM:BQ,23,0)</f>
        <v>0</v>
      </c>
    </row>
    <row r="59" spans="2:39">
      <c r="B59" s="272"/>
      <c r="C59" s="1894" t="str">
        <f t="shared" ca="1" si="0"/>
        <v>스타리아 디젤 2.2 투어러 9인승 4WD</v>
      </c>
      <c r="D59" s="269" t="str">
        <f ca="1">IF(OFFSET($D$2,57,$B$2)=0,"",OFFSET($D$2,57,$B$2))</f>
        <v>스타리아 디젤 2.2 투어러 9인승 4WD</v>
      </c>
      <c r="E59" s="1385">
        <v>57</v>
      </c>
      <c r="F59" s="41" t="s">
        <v>1057</v>
      </c>
      <c r="G59" s="69"/>
      <c r="H59" s="41" t="s">
        <v>974</v>
      </c>
      <c r="I59" s="69"/>
      <c r="J59" s="69"/>
      <c r="K59" s="69"/>
      <c r="O59" s="259">
        <f ca="1">VLOOKUP($D59,모델정보데이터!$AM$4:$BQ$398,3,0)</f>
        <v>2199</v>
      </c>
      <c r="P59" s="582" t="str">
        <f ca="1">VLOOKUP($D59,모델정보데이터!$AM$4:$BQ$398,4,0)</f>
        <v>D</v>
      </c>
      <c r="Q59" s="582">
        <f ca="1">VLOOKUP($D59,모델정보데이터!$AM$4:$BQ$398,5,0)</f>
        <v>9</v>
      </c>
      <c r="R59" s="582" t="str">
        <f ca="1">VLOOKUP($D59,모델정보데이터!$AM$4:$BQ$398,6,0)</f>
        <v>RV</v>
      </c>
      <c r="S59" s="582" t="str">
        <f ca="1">VLOOKUP($D59,모델정보데이터!$AM$4:$BQ$398,7,0)</f>
        <v>다인승</v>
      </c>
      <c r="T59" s="582" t="str">
        <f ca="1">VLOOKUP($D59,모델정보데이터!$AM$4:$BQ$398,15,0)</f>
        <v>H</v>
      </c>
      <c r="U59" s="582" t="str">
        <f ca="1">VLOOKUP($D59,모델정보데이터!$AM$4:$BQ$398,16,0)</f>
        <v>A</v>
      </c>
      <c r="V59" s="582" t="str">
        <f ca="1">VLOOKUP($D59,모델정보데이터!$AM$4:$BQ$398,8,0)</f>
        <v>7급</v>
      </c>
      <c r="W59" s="582" t="str">
        <f ca="1">VLOOKUP($D59,모델정보데이터!$AM$4:$BQ$398,9,0)</f>
        <v>02:울산</v>
      </c>
      <c r="X59" s="582" t="str">
        <f ca="1">VLOOKUP($D59,모델정보데이터!$AM$4:$BM$278,27,0)</f>
        <v>유림로지텍</v>
      </c>
      <c r="Y59" s="582" t="str">
        <f ca="1">VLOOKUP($D59,모델정보데이터!$AM$4:$BQ$398,11,0)</f>
        <v>D</v>
      </c>
      <c r="Z59" s="582" t="str">
        <f ca="1">VLOOKUP($D59,모델정보데이터!$AM$4:$BQ$398,18,0)</f>
        <v>KB손보</v>
      </c>
      <c r="AA59" s="582" t="str">
        <f ca="1">VLOOKUP($D59,모델정보데이터!$AM$4:$BQ$398,12,0)</f>
        <v>일반</v>
      </c>
      <c r="AB59" s="583">
        <f ca="1">VLOOKUP($D59,모델정보데이터!$AM$4:$BQ$398,13,0)</f>
        <v>2.5000000000000001E-2</v>
      </c>
      <c r="AC59" s="582">
        <f ca="1">VLOOKUP($D59,모델정보데이터!$AM$4:$BQ$398,17,0)</f>
        <v>0</v>
      </c>
      <c r="AD59" s="582">
        <f ca="1">VLOOKUP($D59,모델정보데이터!$AM$4:$BQ$398,10,0)</f>
        <v>0</v>
      </c>
      <c r="AE59" s="582">
        <f ca="1">IFERROR(VLOOKUP(D59,모델정보데이터!$AM$3:$BD$278,27,0),0)</f>
        <v>0</v>
      </c>
      <c r="AF59" s="1134">
        <f ca="1">VLOOKUP($D59,모델정보데이터!$AM$4:$BQ$398,14,0)</f>
        <v>0</v>
      </c>
      <c r="AG59" s="260">
        <f ca="1">VLOOKUP($D59,모델정보데이터!AM:BQ,30,0)</f>
        <v>9.2999999999999999E-2</v>
      </c>
      <c r="AH59" s="260">
        <f ca="1">VLOOKUP($D59,모델정보데이터!AM:BQ,31,0)</f>
        <v>8.5999999999999993E-2</v>
      </c>
      <c r="AI59" s="260" t="str">
        <f ca="1">VLOOKUP($D59,모델정보데이터!AM:BQ,19,0)</f>
        <v>현대</v>
      </c>
      <c r="AJ59" s="69">
        <f ca="1">VLOOKUP($D59,모델정보데이터!AM:BQ,21,0)</f>
        <v>88000</v>
      </c>
      <c r="AK59" s="69">
        <f ca="1">VLOOKUP($D59,모델정보데이터!AM:BQ,22,0)</f>
        <v>312000</v>
      </c>
      <c r="AL59" s="69">
        <f ca="1">VLOOKUP($D59,모델정보데이터!AM:BQ,20,0)</f>
        <v>4.1000000000000002E-2</v>
      </c>
      <c r="AM59" s="69">
        <f ca="1">VLOOKUP($D59,모델정보데이터!AM:BQ,23,0)</f>
        <v>0</v>
      </c>
    </row>
    <row r="60" spans="2:39">
      <c r="B60" s="272"/>
      <c r="C60" s="1894" t="str">
        <f t="shared" ca="1" si="0"/>
        <v>스타리아 디젤 2.2 투어러 11인승 2WD</v>
      </c>
      <c r="D60" s="269" t="str">
        <f ca="1">IF(OFFSET($D$2,58,$B$2)=0,"",OFFSET($D$2,58,$B$2))</f>
        <v>스타리아 디젤 2.2 투어러 11인승 2WD</v>
      </c>
      <c r="E60" s="1385">
        <v>58</v>
      </c>
      <c r="F60" s="41" t="s">
        <v>1058</v>
      </c>
      <c r="G60" s="69"/>
      <c r="H60" s="41" t="s">
        <v>903</v>
      </c>
      <c r="I60" s="69"/>
      <c r="J60" s="69"/>
      <c r="K60" s="69"/>
      <c r="O60" s="259">
        <f ca="1">VLOOKUP($D60,모델정보데이터!$AM$4:$BQ$398,3,0)</f>
        <v>2199</v>
      </c>
      <c r="P60" s="582" t="str">
        <f ca="1">VLOOKUP($D60,모델정보데이터!$AM$4:$BQ$398,4,0)</f>
        <v>D</v>
      </c>
      <c r="Q60" s="582">
        <f ca="1">VLOOKUP($D60,모델정보데이터!$AM$4:$BQ$398,5,0)</f>
        <v>11</v>
      </c>
      <c r="R60" s="582" t="str">
        <f ca="1">VLOOKUP($D60,모델정보데이터!$AM$4:$BQ$398,6,0)</f>
        <v>승합</v>
      </c>
      <c r="S60" s="582" t="str">
        <f ca="1">VLOOKUP($D60,모델정보데이터!$AM$4:$BQ$398,7,0)</f>
        <v>승합</v>
      </c>
      <c r="T60" s="582" t="str">
        <f ca="1">VLOOKUP($D60,모델정보데이터!$AM$4:$BQ$398,15,0)</f>
        <v>H</v>
      </c>
      <c r="U60" s="582" t="str">
        <f ca="1">VLOOKUP($D60,모델정보데이터!$AM$4:$BQ$398,16,0)</f>
        <v>A</v>
      </c>
      <c r="V60" s="582" t="str">
        <f ca="1">VLOOKUP($D60,모델정보데이터!$AM$4:$BQ$398,8,0)</f>
        <v>8급</v>
      </c>
      <c r="W60" s="582" t="str">
        <f ca="1">VLOOKUP($D60,모델정보데이터!$AM$4:$BQ$398,9,0)</f>
        <v>02:울산</v>
      </c>
      <c r="X60" s="582" t="str">
        <f ca="1">VLOOKUP($D60,모델정보데이터!$AM$4:$BM$278,27,0)</f>
        <v>유림로지텍</v>
      </c>
      <c r="Y60" s="582" t="str">
        <f ca="1">VLOOKUP($D60,모델정보데이터!$AM$4:$BQ$398,11,0)</f>
        <v>D</v>
      </c>
      <c r="Z60" s="582" t="str">
        <f ca="1">VLOOKUP($D60,모델정보데이터!$AM$4:$BQ$398,18,0)</f>
        <v>KB손보</v>
      </c>
      <c r="AA60" s="582" t="str">
        <f ca="1">VLOOKUP($D60,모델정보데이터!$AM$4:$BQ$398,12,0)</f>
        <v>일반</v>
      </c>
      <c r="AB60" s="583">
        <f ca="1">VLOOKUP($D60,모델정보데이터!$AM$4:$BQ$398,13,0)</f>
        <v>2.5000000000000001E-2</v>
      </c>
      <c r="AC60" s="582">
        <f ca="1">VLOOKUP($D60,모델정보데이터!$AM$4:$BQ$398,17,0)</f>
        <v>0</v>
      </c>
      <c r="AD60" s="582">
        <f ca="1">VLOOKUP($D60,모델정보데이터!$AM$4:$BQ$398,10,0)</f>
        <v>0</v>
      </c>
      <c r="AE60" s="582">
        <f ca="1">IFERROR(VLOOKUP(D60,모델정보데이터!$AM$3:$BD$278,27,0),0)</f>
        <v>0</v>
      </c>
      <c r="AF60" s="1134">
        <f ca="1">VLOOKUP($D60,모델정보데이터!$AM$4:$BQ$398,14,0)</f>
        <v>0</v>
      </c>
      <c r="AG60" s="260">
        <f ca="1">VLOOKUP($D60,모델정보데이터!AM:BQ,30,0)</f>
        <v>9.2999999999999999E-2</v>
      </c>
      <c r="AH60" s="260">
        <f ca="1">VLOOKUP($D60,모델정보데이터!AM:BQ,31,0)</f>
        <v>8.5999999999999993E-2</v>
      </c>
      <c r="AI60" s="260" t="str">
        <f ca="1">VLOOKUP($D60,모델정보데이터!AM:BQ,19,0)</f>
        <v>현대</v>
      </c>
      <c r="AJ60" s="69">
        <f ca="1">VLOOKUP($D60,모델정보데이터!AM:BQ,21,0)</f>
        <v>88000</v>
      </c>
      <c r="AK60" s="69">
        <f ca="1">VLOOKUP($D60,모델정보데이터!AM:BQ,22,0)</f>
        <v>312000</v>
      </c>
      <c r="AL60" s="69">
        <f ca="1">VLOOKUP($D60,모델정보데이터!AM:BQ,20,0)</f>
        <v>4.1000000000000002E-2</v>
      </c>
      <c r="AM60" s="69">
        <f ca="1">VLOOKUP($D60,모델정보데이터!AM:BQ,23,0)</f>
        <v>0</v>
      </c>
    </row>
    <row r="61" spans="2:39">
      <c r="B61" s="272"/>
      <c r="C61" s="1894" t="str">
        <f t="shared" ca="1" si="0"/>
        <v>스타리아 디젤 2.2 투어러 11인승 4WD</v>
      </c>
      <c r="D61" s="269" t="str">
        <f ca="1">IF(OFFSET($D$2,59,$B$2)=0,"",OFFSET($D$2,59,$B$2))</f>
        <v>스타리아 디젤 2.2 투어러 11인승 4WD</v>
      </c>
      <c r="E61" s="1385">
        <v>59</v>
      </c>
      <c r="F61" s="41" t="s">
        <v>1059</v>
      </c>
      <c r="G61" s="69"/>
      <c r="H61" s="41" t="s">
        <v>904</v>
      </c>
      <c r="I61" s="69"/>
      <c r="J61" s="69"/>
      <c r="K61" s="69"/>
      <c r="O61" s="259">
        <f ca="1">VLOOKUP($D61,모델정보데이터!$AM$4:$BQ$398,3,0)</f>
        <v>2199</v>
      </c>
      <c r="P61" s="582" t="str">
        <f ca="1">VLOOKUP($D61,모델정보데이터!$AM$4:$BQ$398,4,0)</f>
        <v>D</v>
      </c>
      <c r="Q61" s="582">
        <f ca="1">VLOOKUP($D61,모델정보데이터!$AM$4:$BQ$398,5,0)</f>
        <v>11</v>
      </c>
      <c r="R61" s="582" t="str">
        <f ca="1">VLOOKUP($D61,모델정보데이터!$AM$4:$BQ$398,6,0)</f>
        <v>승합</v>
      </c>
      <c r="S61" s="582" t="str">
        <f ca="1">VLOOKUP($D61,모델정보데이터!$AM$4:$BQ$398,7,0)</f>
        <v>승합</v>
      </c>
      <c r="T61" s="582" t="str">
        <f ca="1">VLOOKUP($D61,모델정보데이터!$AM$4:$BQ$398,15,0)</f>
        <v>H</v>
      </c>
      <c r="U61" s="582" t="str">
        <f ca="1">VLOOKUP($D61,모델정보데이터!$AM$4:$BQ$398,16,0)</f>
        <v>A</v>
      </c>
      <c r="V61" s="582" t="str">
        <f ca="1">VLOOKUP($D61,모델정보데이터!$AM$4:$BQ$398,8,0)</f>
        <v>8급</v>
      </c>
      <c r="W61" s="582" t="str">
        <f ca="1">VLOOKUP($D61,모델정보데이터!$AM$4:$BQ$398,9,0)</f>
        <v>02:울산</v>
      </c>
      <c r="X61" s="582" t="str">
        <f ca="1">VLOOKUP($D61,모델정보데이터!$AM$4:$BM$278,27,0)</f>
        <v>유림로지텍</v>
      </c>
      <c r="Y61" s="582" t="str">
        <f ca="1">VLOOKUP($D61,모델정보데이터!$AM$4:$BQ$398,11,0)</f>
        <v>D</v>
      </c>
      <c r="Z61" s="582" t="str">
        <f ca="1">VLOOKUP($D61,모델정보데이터!$AM$4:$BQ$398,18,0)</f>
        <v>KB손보</v>
      </c>
      <c r="AA61" s="582" t="str">
        <f ca="1">VLOOKUP($D61,모델정보데이터!$AM$4:$BQ$398,12,0)</f>
        <v>일반</v>
      </c>
      <c r="AB61" s="583">
        <f ca="1">VLOOKUP($D61,모델정보데이터!$AM$4:$BQ$398,13,0)</f>
        <v>2.5000000000000001E-2</v>
      </c>
      <c r="AC61" s="582">
        <f ca="1">VLOOKUP($D61,모델정보데이터!$AM$4:$BQ$398,17,0)</f>
        <v>0</v>
      </c>
      <c r="AD61" s="582">
        <f ca="1">VLOOKUP($D61,모델정보데이터!$AM$4:$BQ$398,10,0)</f>
        <v>0</v>
      </c>
      <c r="AE61" s="582">
        <f ca="1">IFERROR(VLOOKUP(D61,모델정보데이터!$AM$3:$BD$278,27,0),0)</f>
        <v>0</v>
      </c>
      <c r="AF61" s="1134">
        <f ca="1">VLOOKUP($D61,모델정보데이터!$AM$4:$BQ$398,14,0)</f>
        <v>0</v>
      </c>
      <c r="AG61" s="260">
        <f ca="1">VLOOKUP($D61,모델정보데이터!AM:BQ,30,0)</f>
        <v>9.2999999999999999E-2</v>
      </c>
      <c r="AH61" s="260">
        <f ca="1">VLOOKUP($D61,모델정보데이터!AM:BQ,31,0)</f>
        <v>8.5999999999999993E-2</v>
      </c>
      <c r="AI61" s="260" t="str">
        <f ca="1">VLOOKUP($D61,모델정보데이터!AM:BQ,19,0)</f>
        <v>현대</v>
      </c>
      <c r="AJ61" s="69">
        <f ca="1">VLOOKUP($D61,모델정보데이터!AM:BQ,21,0)</f>
        <v>88000</v>
      </c>
      <c r="AK61" s="69">
        <f ca="1">VLOOKUP($D61,모델정보데이터!AM:BQ,22,0)</f>
        <v>312000</v>
      </c>
      <c r="AL61" s="69">
        <f ca="1">VLOOKUP($D61,모델정보데이터!AM:BQ,20,0)</f>
        <v>4.1000000000000002E-2</v>
      </c>
      <c r="AM61" s="69">
        <f ca="1">VLOOKUP($D61,모델정보데이터!AM:BQ,23,0)</f>
        <v>0</v>
      </c>
    </row>
    <row r="62" spans="2:39">
      <c r="B62" s="272"/>
      <c r="C62" s="1894" t="str">
        <f t="shared" ca="1" si="0"/>
        <v>스타리아 LPG 3.5 투어러 9인승</v>
      </c>
      <c r="D62" s="269" t="str">
        <f ca="1">IF(OFFSET($D$2,60,$B$2)=0,"",OFFSET($D$2,60,$B$2))</f>
        <v>스타리아 LPG 3.5 투어러 9인승</v>
      </c>
      <c r="E62" s="1385">
        <v>60</v>
      </c>
      <c r="F62" s="41" t="s">
        <v>1060</v>
      </c>
      <c r="G62" s="69"/>
      <c r="H62" s="41" t="s">
        <v>905</v>
      </c>
      <c r="I62" s="69"/>
      <c r="J62" s="69"/>
      <c r="K62" s="69"/>
      <c r="O62" s="259">
        <f ca="1">VLOOKUP($D62,모델정보데이터!$AM$4:$BQ$398,3,0)</f>
        <v>3470</v>
      </c>
      <c r="P62" s="582" t="str">
        <f ca="1">VLOOKUP($D62,모델정보데이터!$AM$4:$BQ$398,4,0)</f>
        <v>L</v>
      </c>
      <c r="Q62" s="582">
        <f ca="1">VLOOKUP($D62,모델정보데이터!$AM$4:$BQ$398,5,0)</f>
        <v>9</v>
      </c>
      <c r="R62" s="582" t="str">
        <f ca="1">VLOOKUP($D62,모델정보데이터!$AM$4:$BQ$398,6,0)</f>
        <v>RV</v>
      </c>
      <c r="S62" s="582" t="str">
        <f ca="1">VLOOKUP($D62,모델정보데이터!$AM$4:$BQ$398,7,0)</f>
        <v>다인승</v>
      </c>
      <c r="T62" s="582" t="str">
        <f ca="1">VLOOKUP($D62,모델정보데이터!$AM$4:$BQ$398,15,0)</f>
        <v>H</v>
      </c>
      <c r="U62" s="582" t="str">
        <f ca="1">VLOOKUP($D62,모델정보데이터!$AM$4:$BQ$398,16,0)</f>
        <v>A</v>
      </c>
      <c r="V62" s="582" t="str">
        <f ca="1">VLOOKUP($D62,모델정보데이터!$AM$4:$BQ$398,8,0)</f>
        <v>7급</v>
      </c>
      <c r="W62" s="582" t="str">
        <f ca="1">VLOOKUP($D62,모델정보데이터!$AM$4:$BQ$398,9,0)</f>
        <v>02:울산</v>
      </c>
      <c r="X62" s="582" t="str">
        <f ca="1">VLOOKUP($D62,모델정보데이터!$AM$4:$BM$278,27,0)</f>
        <v>유림로지텍</v>
      </c>
      <c r="Y62" s="582" t="str">
        <f ca="1">VLOOKUP($D62,모델정보데이터!$AM$4:$BQ$398,11,0)</f>
        <v>D</v>
      </c>
      <c r="Z62" s="582" t="str">
        <f ca="1">VLOOKUP($D62,모델정보데이터!$AM$4:$BQ$398,18,0)</f>
        <v>KB손보</v>
      </c>
      <c r="AA62" s="582" t="str">
        <f ca="1">VLOOKUP($D62,모델정보데이터!$AM$4:$BQ$398,12,0)</f>
        <v>일반</v>
      </c>
      <c r="AB62" s="583">
        <f ca="1">VLOOKUP($D62,모델정보데이터!$AM$4:$BQ$398,13,0)</f>
        <v>2.5000000000000001E-2</v>
      </c>
      <c r="AC62" s="582">
        <f ca="1">VLOOKUP($D62,모델정보데이터!$AM$4:$BQ$398,17,0)</f>
        <v>0</v>
      </c>
      <c r="AD62" s="582">
        <f ca="1">VLOOKUP($D62,모델정보데이터!$AM$4:$BQ$398,10,0)</f>
        <v>0</v>
      </c>
      <c r="AE62" s="582">
        <f ca="1">IFERROR(VLOOKUP(D62,모델정보데이터!$AM$3:$BD$278,27,0),0)</f>
        <v>0</v>
      </c>
      <c r="AF62" s="1134">
        <f ca="1">VLOOKUP($D62,모델정보데이터!$AM$4:$BQ$398,14,0)</f>
        <v>0</v>
      </c>
      <c r="AG62" s="260">
        <f ca="1">VLOOKUP($D62,모델정보데이터!AM:BQ,30,0)</f>
        <v>9.2999999999999999E-2</v>
      </c>
      <c r="AH62" s="260">
        <f ca="1">VLOOKUP($D62,모델정보데이터!AM:BQ,31,0)</f>
        <v>8.5999999999999993E-2</v>
      </c>
      <c r="AI62" s="260" t="str">
        <f ca="1">VLOOKUP($D62,모델정보데이터!AM:BQ,19,0)</f>
        <v>현대</v>
      </c>
      <c r="AJ62" s="69">
        <f ca="1">VLOOKUP($D62,모델정보데이터!AM:BQ,21,0)</f>
        <v>88000</v>
      </c>
      <c r="AK62" s="69">
        <f ca="1">VLOOKUP($D62,모델정보데이터!AM:BQ,22,0)</f>
        <v>312000</v>
      </c>
      <c r="AL62" s="69">
        <f ca="1">VLOOKUP($D62,모델정보데이터!AM:BQ,20,0)</f>
        <v>4.1000000000000002E-2</v>
      </c>
      <c r="AM62" s="69">
        <f ca="1">VLOOKUP($D62,모델정보데이터!AM:BQ,23,0)</f>
        <v>0</v>
      </c>
    </row>
    <row r="63" spans="2:39">
      <c r="B63" s="272"/>
      <c r="C63" s="1894" t="str">
        <f t="shared" ca="1" si="0"/>
        <v>스타리아 LPG 3.5 투어러 11인승</v>
      </c>
      <c r="D63" s="269" t="str">
        <f ca="1">IF(OFFSET($D$2,61,$B$2)=0,"",OFFSET($D$2,61,$B$2))</f>
        <v>스타리아 LPG 3.5 투어러 11인승</v>
      </c>
      <c r="E63" s="1385">
        <v>61</v>
      </c>
      <c r="F63" s="41" t="s">
        <v>1061</v>
      </c>
      <c r="G63" s="69"/>
      <c r="H63" s="41" t="s">
        <v>906</v>
      </c>
      <c r="I63" s="69"/>
      <c r="J63" s="69"/>
      <c r="K63" s="69"/>
      <c r="O63" s="259">
        <f ca="1">VLOOKUP($D63,모델정보데이터!$AM$4:$BQ$398,3,0)</f>
        <v>3470</v>
      </c>
      <c r="P63" s="582" t="str">
        <f ca="1">VLOOKUP($D63,모델정보데이터!$AM$4:$BQ$398,4,0)</f>
        <v>L</v>
      </c>
      <c r="Q63" s="582">
        <f ca="1">VLOOKUP($D63,모델정보데이터!$AM$4:$BQ$398,5,0)</f>
        <v>11</v>
      </c>
      <c r="R63" s="582" t="str">
        <f ca="1">VLOOKUP($D63,모델정보데이터!$AM$4:$BQ$398,6,0)</f>
        <v>승합</v>
      </c>
      <c r="S63" s="582" t="str">
        <f ca="1">VLOOKUP($D63,모델정보데이터!$AM$4:$BQ$398,7,0)</f>
        <v>승합</v>
      </c>
      <c r="T63" s="582" t="str">
        <f ca="1">VLOOKUP($D63,모델정보데이터!$AM$4:$BQ$398,15,0)</f>
        <v>H</v>
      </c>
      <c r="U63" s="582" t="str">
        <f ca="1">VLOOKUP($D63,모델정보데이터!$AM$4:$BQ$398,16,0)</f>
        <v>A</v>
      </c>
      <c r="V63" s="582" t="str">
        <f ca="1">VLOOKUP($D63,모델정보데이터!$AM$4:$BQ$398,8,0)</f>
        <v>8급</v>
      </c>
      <c r="W63" s="582" t="str">
        <f ca="1">VLOOKUP($D63,모델정보데이터!$AM$4:$BQ$398,9,0)</f>
        <v>02:울산</v>
      </c>
      <c r="X63" s="582" t="str">
        <f ca="1">VLOOKUP($D63,모델정보데이터!$AM$4:$BM$278,27,0)</f>
        <v>유림로지텍</v>
      </c>
      <c r="Y63" s="582" t="str">
        <f ca="1">VLOOKUP($D63,모델정보데이터!$AM$4:$BQ$398,11,0)</f>
        <v>D</v>
      </c>
      <c r="Z63" s="582" t="str">
        <f ca="1">VLOOKUP($D63,모델정보데이터!$AM$4:$BQ$398,18,0)</f>
        <v>KB손보</v>
      </c>
      <c r="AA63" s="582" t="str">
        <f ca="1">VLOOKUP($D63,모델정보데이터!$AM$4:$BQ$398,12,0)</f>
        <v>일반</v>
      </c>
      <c r="AB63" s="583">
        <f ca="1">VLOOKUP($D63,모델정보데이터!$AM$4:$BQ$398,13,0)</f>
        <v>2.5000000000000001E-2</v>
      </c>
      <c r="AC63" s="582">
        <f ca="1">VLOOKUP($D63,모델정보데이터!$AM$4:$BQ$398,17,0)</f>
        <v>0</v>
      </c>
      <c r="AD63" s="582">
        <f ca="1">VLOOKUP($D63,모델정보데이터!$AM$4:$BQ$398,10,0)</f>
        <v>0</v>
      </c>
      <c r="AE63" s="582">
        <f ca="1">IFERROR(VLOOKUP(D63,모델정보데이터!$AM$3:$BD$278,27,0),0)</f>
        <v>0</v>
      </c>
      <c r="AF63" s="1134">
        <f ca="1">VLOOKUP($D63,모델정보데이터!$AM$4:$BQ$398,14,0)</f>
        <v>0</v>
      </c>
      <c r="AG63" s="260">
        <f ca="1">VLOOKUP($D63,모델정보데이터!AM:BQ,30,0)</f>
        <v>9.2999999999999999E-2</v>
      </c>
      <c r="AH63" s="260">
        <f ca="1">VLOOKUP($D63,모델정보데이터!AM:BQ,31,0)</f>
        <v>8.5999999999999993E-2</v>
      </c>
      <c r="AI63" s="260" t="str">
        <f ca="1">VLOOKUP($D63,모델정보데이터!AM:BQ,19,0)</f>
        <v>현대</v>
      </c>
      <c r="AJ63" s="69">
        <f ca="1">VLOOKUP($D63,모델정보데이터!AM:BQ,21,0)</f>
        <v>88000</v>
      </c>
      <c r="AK63" s="69">
        <f ca="1">VLOOKUP($D63,모델정보데이터!AM:BQ,22,0)</f>
        <v>312000</v>
      </c>
      <c r="AL63" s="69">
        <f ca="1">VLOOKUP($D63,모델정보데이터!AM:BQ,20,0)</f>
        <v>4.1000000000000002E-2</v>
      </c>
      <c r="AM63" s="69">
        <f ca="1">VLOOKUP($D63,모델정보데이터!AM:BQ,23,0)</f>
        <v>0</v>
      </c>
    </row>
    <row r="64" spans="2:39">
      <c r="B64" s="275"/>
      <c r="C64" s="1894" t="str">
        <f t="shared" ca="1" si="0"/>
        <v>스타리아 가솔린 터보 1.6 하이브리드 라운지 9인승 2WD</v>
      </c>
      <c r="D64" s="269" t="str">
        <f ca="1">IF(OFFSET($D$2,62,$B$2)=0,"",OFFSET($D$2,62,$B$2))</f>
        <v>스타리아 가솔린 터보 1.6 하이브리드 라운지 9인승 2WD</v>
      </c>
      <c r="E64" s="1385">
        <v>62</v>
      </c>
      <c r="F64" s="41" t="s">
        <v>1379</v>
      </c>
      <c r="G64" s="69"/>
      <c r="H64" s="41" t="s">
        <v>907</v>
      </c>
      <c r="I64" s="69"/>
      <c r="J64" s="69"/>
      <c r="K64" s="69"/>
      <c r="O64" s="259">
        <f ca="1">VLOOKUP($D64,모델정보데이터!$AM$4:$BQ$398,3,0)</f>
        <v>1598</v>
      </c>
      <c r="P64" s="582" t="str">
        <f ca="1">VLOOKUP($D64,모델정보데이터!$AM$4:$BQ$398,4,0)</f>
        <v>V</v>
      </c>
      <c r="Q64" s="582">
        <f ca="1">VLOOKUP($D64,모델정보데이터!$AM$4:$BQ$398,5,0)</f>
        <v>9</v>
      </c>
      <c r="R64" s="582" t="str">
        <f ca="1">VLOOKUP($D64,모델정보데이터!$AM$4:$BQ$398,6,0)</f>
        <v>RV</v>
      </c>
      <c r="S64" s="582" t="str">
        <f ca="1">VLOOKUP($D64,모델정보데이터!$AM$4:$BQ$398,7,0)</f>
        <v>다인승</v>
      </c>
      <c r="T64" s="582" t="str">
        <f ca="1">VLOOKUP($D64,모델정보데이터!$AM$4:$BQ$398,15,0)</f>
        <v>H</v>
      </c>
      <c r="U64" s="582" t="str">
        <f ca="1">VLOOKUP($D64,모델정보데이터!$AM$4:$BQ$398,16,0)</f>
        <v>A</v>
      </c>
      <c r="V64" s="582" t="str">
        <f ca="1">VLOOKUP($D64,모델정보데이터!$AM$4:$BQ$398,8,0)</f>
        <v>7급</v>
      </c>
      <c r="W64" s="582" t="str">
        <f ca="1">VLOOKUP($D64,모델정보데이터!$AM$4:$BQ$398,9,0)</f>
        <v>02:울산</v>
      </c>
      <c r="X64" s="582" t="str">
        <f ca="1">VLOOKUP($D64,모델정보데이터!$AM$4:$BM$278,27,0)</f>
        <v>유림로지텍</v>
      </c>
      <c r="Y64" s="582" t="str">
        <f ca="1">VLOOKUP($D64,모델정보데이터!$AM$4:$BQ$398,11,0)</f>
        <v>D</v>
      </c>
      <c r="Z64" s="582" t="str">
        <f ca="1">VLOOKUP($D64,모델정보데이터!$AM$4:$BQ$398,18,0)</f>
        <v>KB손보</v>
      </c>
      <c r="AA64" s="582" t="str">
        <f ca="1">VLOOKUP($D64,모델정보데이터!$AM$4:$BQ$398,12,0)</f>
        <v>일반</v>
      </c>
      <c r="AB64" s="583">
        <f ca="1">VLOOKUP($D64,모델정보데이터!$AM$4:$BQ$398,13,0)</f>
        <v>2.5000000000000001E-2</v>
      </c>
      <c r="AC64" s="582">
        <f ca="1">VLOOKUP($D64,모델정보데이터!$AM$4:$BQ$398,17,0)</f>
        <v>0</v>
      </c>
      <c r="AD64" s="582">
        <f ca="1">VLOOKUP($D64,모델정보데이터!$AM$4:$BQ$398,10,0)</f>
        <v>0</v>
      </c>
      <c r="AE64" s="582">
        <f ca="1">IFERROR(VLOOKUP(D64,모델정보데이터!$AM$3:$BD$278,27,0),0)</f>
        <v>0</v>
      </c>
      <c r="AF64" s="1134">
        <f ca="1">VLOOKUP($D64,모델정보데이터!$AM$4:$BQ$398,14,0)</f>
        <v>0</v>
      </c>
      <c r="AG64" s="260">
        <f ca="1">VLOOKUP($D64,모델정보데이터!AM:BQ,30,0)</f>
        <v>9.2999999999999999E-2</v>
      </c>
      <c r="AH64" s="260">
        <f ca="1">VLOOKUP($D64,모델정보데이터!AM:BQ,31,0)</f>
        <v>8.5999999999999993E-2</v>
      </c>
      <c r="AI64" s="260" t="str">
        <f ca="1">VLOOKUP($D64,모델정보데이터!AM:BQ,19,0)</f>
        <v>현대</v>
      </c>
      <c r="AJ64" s="69">
        <f ca="1">VLOOKUP($D64,모델정보데이터!AM:BQ,21,0)</f>
        <v>88000</v>
      </c>
      <c r="AK64" s="69">
        <f ca="1">VLOOKUP($D64,모델정보데이터!AM:BQ,22,0)</f>
        <v>312000</v>
      </c>
      <c r="AL64" s="69">
        <f ca="1">VLOOKUP($D64,모델정보데이터!AM:BQ,20,0)</f>
        <v>4.1000000000000002E-2</v>
      </c>
      <c r="AM64" s="69">
        <f ca="1">VLOOKUP($D64,모델정보데이터!AM:BQ,23,0)</f>
        <v>0</v>
      </c>
    </row>
    <row r="65" spans="2:39">
      <c r="B65" s="275"/>
      <c r="C65" s="1894" t="str">
        <f t="shared" ca="1" si="0"/>
        <v>스타리아 가솔린 터보 1.6 하이브리드 라운지 7인승 2WD</v>
      </c>
      <c r="D65" s="269" t="str">
        <f ca="1">IF(OFFSET($D$2,63,$B$2)=0,"",OFFSET($D$2,63,$B$2))</f>
        <v>스타리아 가솔린 터보 1.6 하이브리드 라운지 7인승 2WD</v>
      </c>
      <c r="E65" s="1385">
        <v>63</v>
      </c>
      <c r="F65" s="41" t="s">
        <v>1380</v>
      </c>
      <c r="G65" s="69"/>
      <c r="H65" s="41" t="s">
        <v>908</v>
      </c>
      <c r="I65" s="69"/>
      <c r="J65" s="69"/>
      <c r="K65" s="69"/>
      <c r="O65" s="259">
        <f ca="1">VLOOKUP($D65,모델정보데이터!$AM$4:$BQ$398,3,0)</f>
        <v>1598</v>
      </c>
      <c r="P65" s="582" t="str">
        <f ca="1">VLOOKUP($D65,모델정보데이터!$AM$4:$BQ$398,4,0)</f>
        <v>V</v>
      </c>
      <c r="Q65" s="582">
        <f ca="1">VLOOKUP($D65,모델정보데이터!$AM$4:$BQ$398,5,0)</f>
        <v>7</v>
      </c>
      <c r="R65" s="582" t="str">
        <f ca="1">VLOOKUP($D65,모델정보데이터!$AM$4:$BQ$398,6,0)</f>
        <v>RV</v>
      </c>
      <c r="S65" s="582" t="str">
        <f ca="1">VLOOKUP($D65,모델정보데이터!$AM$4:$BQ$398,7,0)</f>
        <v>다인승</v>
      </c>
      <c r="T65" s="582" t="str">
        <f ca="1">VLOOKUP($D65,모델정보데이터!$AM$4:$BQ$398,15,0)</f>
        <v>H</v>
      </c>
      <c r="U65" s="582" t="str">
        <f ca="1">VLOOKUP($D65,모델정보데이터!$AM$4:$BQ$398,16,0)</f>
        <v>A</v>
      </c>
      <c r="V65" s="582" t="str">
        <f ca="1">VLOOKUP($D65,모델정보데이터!$AM$4:$BQ$398,8,0)</f>
        <v>7급</v>
      </c>
      <c r="W65" s="582" t="str">
        <f ca="1">VLOOKUP($D65,모델정보데이터!$AM$4:$BQ$398,9,0)</f>
        <v>02:울산</v>
      </c>
      <c r="X65" s="582" t="str">
        <f ca="1">VLOOKUP($D65,모델정보데이터!$AM$4:$BM$278,27,0)</f>
        <v>유림로지텍</v>
      </c>
      <c r="Y65" s="582" t="str">
        <f ca="1">VLOOKUP($D65,모델정보데이터!$AM$4:$BQ$398,11,0)</f>
        <v>D</v>
      </c>
      <c r="Z65" s="582" t="str">
        <f ca="1">VLOOKUP($D65,모델정보데이터!$AM$4:$BQ$398,18,0)</f>
        <v>KB손보</v>
      </c>
      <c r="AA65" s="582" t="str">
        <f ca="1">VLOOKUP($D65,모델정보데이터!$AM$4:$BQ$398,12,0)</f>
        <v>일반</v>
      </c>
      <c r="AB65" s="583">
        <f ca="1">VLOOKUP($D65,모델정보데이터!$AM$4:$BQ$398,13,0)</f>
        <v>2.5000000000000001E-2</v>
      </c>
      <c r="AC65" s="582">
        <f ca="1">VLOOKUP($D65,모델정보데이터!$AM$4:$BQ$398,17,0)</f>
        <v>0</v>
      </c>
      <c r="AD65" s="582">
        <f ca="1">VLOOKUP($D65,모델정보데이터!$AM$4:$BQ$398,10,0)</f>
        <v>0</v>
      </c>
      <c r="AE65" s="582">
        <f ca="1">IFERROR(VLOOKUP(D65,모델정보데이터!$AM$3:$BD$278,27,0),0)</f>
        <v>0</v>
      </c>
      <c r="AF65" s="1134">
        <f ca="1">VLOOKUP($D65,모델정보데이터!$AM$4:$BQ$398,14,0)</f>
        <v>0</v>
      </c>
      <c r="AG65" s="260">
        <f ca="1">VLOOKUP($D65,모델정보데이터!AM:BQ,30,0)</f>
        <v>9.2999999999999999E-2</v>
      </c>
      <c r="AH65" s="260">
        <f ca="1">VLOOKUP($D65,모델정보데이터!AM:BQ,31,0)</f>
        <v>8.5999999999999993E-2</v>
      </c>
      <c r="AI65" s="260" t="str">
        <f ca="1">VLOOKUP($D65,모델정보데이터!AM:BQ,19,0)</f>
        <v>현대</v>
      </c>
      <c r="AJ65" s="69">
        <f ca="1">VLOOKUP($D65,모델정보데이터!AM:BQ,21,0)</f>
        <v>88000</v>
      </c>
      <c r="AK65" s="69">
        <f ca="1">VLOOKUP($D65,모델정보데이터!AM:BQ,22,0)</f>
        <v>312000</v>
      </c>
      <c r="AL65" s="69">
        <f ca="1">VLOOKUP($D65,모델정보데이터!AM:BQ,20,0)</f>
        <v>4.1000000000000002E-2</v>
      </c>
      <c r="AM65" s="69">
        <f ca="1">VLOOKUP($D65,모델정보데이터!AM:BQ,23,0)</f>
        <v>0</v>
      </c>
    </row>
    <row r="66" spans="2:39">
      <c r="B66" s="275"/>
      <c r="C66" s="1894" t="str">
        <f t="shared" ca="1" si="0"/>
        <v>스타리아 디젤 2.2 라운지 9인승 2WD</v>
      </c>
      <c r="D66" s="269" t="str">
        <f ca="1">IF(OFFSET($D$2,64,$B$2)=0,"",OFFSET($D$2,64,$B$2))</f>
        <v>스타리아 디젤 2.2 라운지 9인승 2WD</v>
      </c>
      <c r="E66" s="1385">
        <v>64</v>
      </c>
      <c r="F66" s="41" t="s">
        <v>1062</v>
      </c>
      <c r="G66" s="69"/>
      <c r="H66" s="41" t="s">
        <v>909</v>
      </c>
      <c r="I66" s="69"/>
      <c r="J66" s="69"/>
      <c r="K66" s="69"/>
      <c r="O66" s="259">
        <f ca="1">VLOOKUP($D66,모델정보데이터!$AM$4:$BQ$398,3,0)</f>
        <v>2199</v>
      </c>
      <c r="P66" s="582" t="str">
        <f ca="1">VLOOKUP($D66,모델정보데이터!$AM$4:$BQ$398,4,0)</f>
        <v>D</v>
      </c>
      <c r="Q66" s="582">
        <f ca="1">VLOOKUP($D66,모델정보데이터!$AM$4:$BQ$398,5,0)</f>
        <v>9</v>
      </c>
      <c r="R66" s="582" t="str">
        <f ca="1">VLOOKUP($D66,모델정보데이터!$AM$4:$BQ$398,6,0)</f>
        <v>RV</v>
      </c>
      <c r="S66" s="582" t="str">
        <f ca="1">VLOOKUP($D66,모델정보데이터!$AM$4:$BQ$398,7,0)</f>
        <v>다인승</v>
      </c>
      <c r="T66" s="582" t="str">
        <f ca="1">VLOOKUP($D66,모델정보데이터!$AM$4:$BQ$398,15,0)</f>
        <v>H</v>
      </c>
      <c r="U66" s="582" t="str">
        <f ca="1">VLOOKUP($D66,모델정보데이터!$AM$4:$BQ$398,16,0)</f>
        <v>A</v>
      </c>
      <c r="V66" s="582" t="str">
        <f ca="1">VLOOKUP($D66,모델정보데이터!$AM$4:$BQ$398,8,0)</f>
        <v>7급</v>
      </c>
      <c r="W66" s="582" t="str">
        <f ca="1">VLOOKUP($D66,모델정보데이터!$AM$4:$BQ$398,9,0)</f>
        <v>02:울산</v>
      </c>
      <c r="X66" s="582" t="str">
        <f ca="1">VLOOKUP($D66,모델정보데이터!$AM$4:$BM$278,27,0)</f>
        <v>유림로지텍</v>
      </c>
      <c r="Y66" s="582" t="str">
        <f ca="1">VLOOKUP($D66,모델정보데이터!$AM$4:$BQ$398,11,0)</f>
        <v>D</v>
      </c>
      <c r="Z66" s="582" t="str">
        <f ca="1">VLOOKUP($D66,모델정보데이터!$AM$4:$BQ$398,18,0)</f>
        <v>KB손보</v>
      </c>
      <c r="AA66" s="582" t="str">
        <f ca="1">VLOOKUP($D66,모델정보데이터!$AM$4:$BQ$398,12,0)</f>
        <v>일반</v>
      </c>
      <c r="AB66" s="583">
        <f ca="1">VLOOKUP($D66,모델정보데이터!$AM$4:$BQ$398,13,0)</f>
        <v>2.5000000000000001E-2</v>
      </c>
      <c r="AC66" s="582">
        <f ca="1">VLOOKUP($D66,모델정보데이터!$AM$4:$BQ$398,17,0)</f>
        <v>0</v>
      </c>
      <c r="AD66" s="582">
        <f ca="1">VLOOKUP($D66,모델정보데이터!$AM$4:$BQ$398,10,0)</f>
        <v>0</v>
      </c>
      <c r="AE66" s="582">
        <f ca="1">IFERROR(VLOOKUP(D66,모델정보데이터!$AM$3:$BD$278,27,0),0)</f>
        <v>0</v>
      </c>
      <c r="AF66" s="1134">
        <f ca="1">VLOOKUP($D66,모델정보데이터!$AM$4:$BQ$398,14,0)</f>
        <v>0</v>
      </c>
      <c r="AG66" s="260">
        <f ca="1">VLOOKUP($D66,모델정보데이터!AM:BQ,30,0)</f>
        <v>9.2999999999999999E-2</v>
      </c>
      <c r="AH66" s="260">
        <f ca="1">VLOOKUP($D66,모델정보데이터!AM:BQ,31,0)</f>
        <v>8.5999999999999993E-2</v>
      </c>
      <c r="AI66" s="260" t="str">
        <f ca="1">VLOOKUP($D66,모델정보데이터!AM:BQ,19,0)</f>
        <v>현대</v>
      </c>
      <c r="AJ66" s="69">
        <f ca="1">VLOOKUP($D66,모델정보데이터!AM:BQ,21,0)</f>
        <v>88000</v>
      </c>
      <c r="AK66" s="69">
        <f ca="1">VLOOKUP($D66,모델정보데이터!AM:BQ,22,0)</f>
        <v>312000</v>
      </c>
      <c r="AL66" s="69">
        <f ca="1">VLOOKUP($D66,모델정보데이터!AM:BQ,20,0)</f>
        <v>4.1000000000000002E-2</v>
      </c>
      <c r="AM66" s="69">
        <f ca="1">VLOOKUP($D66,모델정보데이터!AM:BQ,23,0)</f>
        <v>0</v>
      </c>
    </row>
    <row r="67" spans="2:39">
      <c r="B67" s="275"/>
      <c r="C67" s="1894" t="str">
        <f t="shared" ca="1" si="0"/>
        <v>스타리아 디젤 2.2 라운지 9인승 4WD</v>
      </c>
      <c r="D67" s="269" t="str">
        <f ca="1">IF(OFFSET($D$2,65,$B$2)=0,"",OFFSET($D$2,65,$B$2))</f>
        <v>스타리아 디젤 2.2 라운지 9인승 4WD</v>
      </c>
      <c r="E67" s="1385">
        <v>65</v>
      </c>
      <c r="F67" s="41" t="s">
        <v>1063</v>
      </c>
      <c r="G67" s="69"/>
      <c r="H67" s="41" t="s">
        <v>1084</v>
      </c>
      <c r="I67" s="69"/>
      <c r="J67" s="69"/>
      <c r="K67" s="69"/>
      <c r="O67" s="259">
        <f ca="1">VLOOKUP($D67,모델정보데이터!$AM$4:$BQ$398,3,0)</f>
        <v>2199</v>
      </c>
      <c r="P67" s="582" t="str">
        <f ca="1">VLOOKUP($D67,모델정보데이터!$AM$4:$BQ$398,4,0)</f>
        <v>D</v>
      </c>
      <c r="Q67" s="582">
        <f ca="1">VLOOKUP($D67,모델정보데이터!$AM$4:$BQ$398,5,0)</f>
        <v>9</v>
      </c>
      <c r="R67" s="582" t="str">
        <f ca="1">VLOOKUP($D67,모델정보데이터!$AM$4:$BQ$398,6,0)</f>
        <v>RV</v>
      </c>
      <c r="S67" s="582" t="str">
        <f ca="1">VLOOKUP($D67,모델정보데이터!$AM$4:$BQ$398,7,0)</f>
        <v>다인승</v>
      </c>
      <c r="T67" s="582" t="str">
        <f ca="1">VLOOKUP($D67,모델정보데이터!$AM$4:$BQ$398,15,0)</f>
        <v>H</v>
      </c>
      <c r="U67" s="582" t="str">
        <f ca="1">VLOOKUP($D67,모델정보데이터!$AM$4:$BQ$398,16,0)</f>
        <v>A</v>
      </c>
      <c r="V67" s="582" t="str">
        <f ca="1">VLOOKUP($D67,모델정보데이터!$AM$4:$BQ$398,8,0)</f>
        <v>7급</v>
      </c>
      <c r="W67" s="582" t="str">
        <f ca="1">VLOOKUP($D67,모델정보데이터!$AM$4:$BQ$398,9,0)</f>
        <v>02:울산</v>
      </c>
      <c r="X67" s="582" t="str">
        <f ca="1">VLOOKUP($D67,모델정보데이터!$AM$4:$BM$278,27,0)</f>
        <v>유림로지텍</v>
      </c>
      <c r="Y67" s="582" t="str">
        <f ca="1">VLOOKUP($D67,모델정보데이터!$AM$4:$BQ$398,11,0)</f>
        <v>D</v>
      </c>
      <c r="Z67" s="582" t="str">
        <f ca="1">VLOOKUP($D67,모델정보데이터!$AM$4:$BQ$398,18,0)</f>
        <v>KB손보</v>
      </c>
      <c r="AA67" s="582" t="str">
        <f ca="1">VLOOKUP($D67,모델정보데이터!$AM$4:$BQ$398,12,0)</f>
        <v>일반</v>
      </c>
      <c r="AB67" s="583">
        <f ca="1">VLOOKUP($D67,모델정보데이터!$AM$4:$BQ$398,13,0)</f>
        <v>2.5000000000000001E-2</v>
      </c>
      <c r="AC67" s="582">
        <f ca="1">VLOOKUP($D67,모델정보데이터!$AM$4:$BQ$398,17,0)</f>
        <v>0</v>
      </c>
      <c r="AD67" s="582">
        <f ca="1">VLOOKUP($D67,모델정보데이터!$AM$4:$BQ$398,10,0)</f>
        <v>0</v>
      </c>
      <c r="AE67" s="582">
        <f ca="1">IFERROR(VLOOKUP(D67,모델정보데이터!$AM$3:$BD$278,27,0),0)</f>
        <v>0</v>
      </c>
      <c r="AF67" s="1134">
        <f ca="1">VLOOKUP($D67,모델정보데이터!$AM$4:$BQ$398,14,0)</f>
        <v>0</v>
      </c>
      <c r="AG67" s="260">
        <f ca="1">VLOOKUP($D67,모델정보데이터!AM:BQ,30,0)</f>
        <v>9.2999999999999999E-2</v>
      </c>
      <c r="AH67" s="260">
        <f ca="1">VLOOKUP($D67,모델정보데이터!AM:BQ,31,0)</f>
        <v>8.5999999999999993E-2</v>
      </c>
      <c r="AI67" s="260" t="str">
        <f ca="1">VLOOKUP($D67,모델정보데이터!AM:BQ,19,0)</f>
        <v>현대</v>
      </c>
      <c r="AJ67" s="69">
        <f ca="1">VLOOKUP($D67,모델정보데이터!AM:BQ,21,0)</f>
        <v>88000</v>
      </c>
      <c r="AK67" s="69">
        <f ca="1">VLOOKUP($D67,모델정보데이터!AM:BQ,22,0)</f>
        <v>312000</v>
      </c>
      <c r="AL67" s="69">
        <f ca="1">VLOOKUP($D67,모델정보데이터!AM:BQ,20,0)</f>
        <v>4.1000000000000002E-2</v>
      </c>
      <c r="AM67" s="69">
        <f ca="1">VLOOKUP($D67,모델정보데이터!AM:BQ,23,0)</f>
        <v>0</v>
      </c>
    </row>
    <row r="68" spans="2:39">
      <c r="B68" s="275"/>
      <c r="C68" s="1894" t="str">
        <f t="shared" ref="C68:C99" ca="1" si="1">+D68</f>
        <v>스타리아 디젤 2.2 라운지 7인승 2WD</v>
      </c>
      <c r="D68" s="269" t="str">
        <f ca="1">IF(OFFSET($D$2,66,$B$2)=0,"",OFFSET($D$2,66,$B$2))</f>
        <v>스타리아 디젤 2.2 라운지 7인승 2WD</v>
      </c>
      <c r="E68" s="1385">
        <v>66</v>
      </c>
      <c r="F68" s="41" t="s">
        <v>1064</v>
      </c>
      <c r="G68" s="69"/>
      <c r="H68" s="41" t="s">
        <v>1146</v>
      </c>
      <c r="I68" s="69"/>
      <c r="J68" s="69"/>
      <c r="K68" s="69"/>
      <c r="O68" s="259">
        <f ca="1">VLOOKUP($D68,모델정보데이터!$AM$4:$BQ$398,3,0)</f>
        <v>2199</v>
      </c>
      <c r="P68" s="582" t="str">
        <f ca="1">VLOOKUP($D68,모델정보데이터!$AM$4:$BQ$398,4,0)</f>
        <v>D</v>
      </c>
      <c r="Q68" s="582">
        <f ca="1">VLOOKUP($D68,모델정보데이터!$AM$4:$BQ$398,5,0)</f>
        <v>7</v>
      </c>
      <c r="R68" s="582" t="str">
        <f ca="1">VLOOKUP($D68,모델정보데이터!$AM$4:$BQ$398,6,0)</f>
        <v>RV</v>
      </c>
      <c r="S68" s="582" t="str">
        <f ca="1">VLOOKUP($D68,모델정보데이터!$AM$4:$BQ$398,7,0)</f>
        <v>다인승</v>
      </c>
      <c r="T68" s="582" t="str">
        <f ca="1">VLOOKUP($D68,모델정보데이터!$AM$4:$BQ$398,15,0)</f>
        <v>H</v>
      </c>
      <c r="U68" s="582" t="str">
        <f ca="1">VLOOKUP($D68,모델정보데이터!$AM$4:$BQ$398,16,0)</f>
        <v>A</v>
      </c>
      <c r="V68" s="582" t="str">
        <f ca="1">VLOOKUP($D68,모델정보데이터!$AM$4:$BQ$398,8,0)</f>
        <v>7급</v>
      </c>
      <c r="W68" s="582" t="str">
        <f ca="1">VLOOKUP($D68,모델정보데이터!$AM$4:$BQ$398,9,0)</f>
        <v>02:울산</v>
      </c>
      <c r="X68" s="582" t="str">
        <f ca="1">VLOOKUP($D68,모델정보데이터!$AM$4:$BM$278,27,0)</f>
        <v>유림로지텍</v>
      </c>
      <c r="Y68" s="582" t="str">
        <f ca="1">VLOOKUP($D68,모델정보데이터!$AM$4:$BQ$398,11,0)</f>
        <v>D</v>
      </c>
      <c r="Z68" s="582" t="str">
        <f ca="1">VLOOKUP($D68,모델정보데이터!$AM$4:$BQ$398,18,0)</f>
        <v>KB손보</v>
      </c>
      <c r="AA68" s="582" t="str">
        <f ca="1">VLOOKUP($D68,모델정보데이터!$AM$4:$BQ$398,12,0)</f>
        <v>일반</v>
      </c>
      <c r="AB68" s="583">
        <f ca="1">VLOOKUP($D68,모델정보데이터!$AM$4:$BQ$398,13,0)</f>
        <v>2.5000000000000001E-2</v>
      </c>
      <c r="AC68" s="582">
        <f ca="1">VLOOKUP($D68,모델정보데이터!$AM$4:$BQ$398,17,0)</f>
        <v>0</v>
      </c>
      <c r="AD68" s="582">
        <f ca="1">VLOOKUP($D68,모델정보데이터!$AM$4:$BQ$398,10,0)</f>
        <v>0</v>
      </c>
      <c r="AE68" s="582">
        <f ca="1">IFERROR(VLOOKUP(D68,모델정보데이터!$AM$3:$BD$278,27,0),0)</f>
        <v>0</v>
      </c>
      <c r="AF68" s="1134">
        <f ca="1">VLOOKUP($D68,모델정보데이터!$AM$4:$BQ$398,14,0)</f>
        <v>0</v>
      </c>
      <c r="AG68" s="260">
        <f ca="1">VLOOKUP($D68,모델정보데이터!AM:BQ,30,0)</f>
        <v>9.2999999999999999E-2</v>
      </c>
      <c r="AH68" s="260">
        <f ca="1">VLOOKUP($D68,모델정보데이터!AM:BQ,31,0)</f>
        <v>8.5999999999999993E-2</v>
      </c>
      <c r="AI68" s="260" t="str">
        <f ca="1">VLOOKUP($D68,모델정보데이터!AM:BQ,19,0)</f>
        <v>현대</v>
      </c>
      <c r="AJ68" s="69">
        <f ca="1">VLOOKUP($D68,모델정보데이터!AM:BQ,21,0)</f>
        <v>88000</v>
      </c>
      <c r="AK68" s="69">
        <f ca="1">VLOOKUP($D68,모델정보데이터!AM:BQ,22,0)</f>
        <v>312000</v>
      </c>
      <c r="AL68" s="69">
        <f ca="1">VLOOKUP($D68,모델정보데이터!AM:BQ,20,0)</f>
        <v>4.1000000000000002E-2</v>
      </c>
      <c r="AM68" s="69">
        <f ca="1">VLOOKUP($D68,모델정보데이터!AM:BQ,23,0)</f>
        <v>0</v>
      </c>
    </row>
    <row r="69" spans="2:39">
      <c r="B69" s="275"/>
      <c r="C69" s="1894" t="str">
        <f t="shared" ca="1" si="1"/>
        <v>스타리아 디젤 2.2 라운지 7인승 4WD</v>
      </c>
      <c r="D69" s="269" t="str">
        <f ca="1">IF(OFFSET($D$2,67,$B$2)=0,"",OFFSET($D$2,67,$B$2))</f>
        <v>스타리아 디젤 2.2 라운지 7인승 4WD</v>
      </c>
      <c r="E69" s="1385">
        <v>67</v>
      </c>
      <c r="F69" s="41" t="s">
        <v>1065</v>
      </c>
      <c r="G69" s="69"/>
      <c r="H69" s="41" t="s">
        <v>1147</v>
      </c>
      <c r="I69" s="69"/>
      <c r="J69" s="69"/>
      <c r="K69" s="69"/>
      <c r="O69" s="259">
        <f ca="1">VLOOKUP($D69,모델정보데이터!$AM$4:$BQ$398,3,0)</f>
        <v>2199</v>
      </c>
      <c r="P69" s="582" t="str">
        <f ca="1">VLOOKUP($D69,모델정보데이터!$AM$4:$BQ$398,4,0)</f>
        <v>D</v>
      </c>
      <c r="Q69" s="582">
        <f ca="1">VLOOKUP($D69,모델정보데이터!$AM$4:$BQ$398,5,0)</f>
        <v>7</v>
      </c>
      <c r="R69" s="582" t="str">
        <f ca="1">VLOOKUP($D69,모델정보데이터!$AM$4:$BQ$398,6,0)</f>
        <v>RV</v>
      </c>
      <c r="S69" s="582" t="str">
        <f ca="1">VLOOKUP($D69,모델정보데이터!$AM$4:$BQ$398,7,0)</f>
        <v>다인승</v>
      </c>
      <c r="T69" s="582" t="str">
        <f ca="1">VLOOKUP($D69,모델정보데이터!$AM$4:$BQ$398,15,0)</f>
        <v>H</v>
      </c>
      <c r="U69" s="582" t="str">
        <f ca="1">VLOOKUP($D69,모델정보데이터!$AM$4:$BQ$398,16,0)</f>
        <v>A</v>
      </c>
      <c r="V69" s="582" t="str">
        <f ca="1">VLOOKUP($D69,모델정보데이터!$AM$4:$BQ$398,8,0)</f>
        <v>7급</v>
      </c>
      <c r="W69" s="582" t="str">
        <f ca="1">VLOOKUP($D69,모델정보데이터!$AM$4:$BQ$398,9,0)</f>
        <v>02:울산</v>
      </c>
      <c r="X69" s="582" t="str">
        <f ca="1">VLOOKUP($D69,모델정보데이터!$AM$4:$BM$278,27,0)</f>
        <v>유림로지텍</v>
      </c>
      <c r="Y69" s="582" t="str">
        <f ca="1">VLOOKUP($D69,모델정보데이터!$AM$4:$BQ$398,11,0)</f>
        <v>D</v>
      </c>
      <c r="Z69" s="582" t="str">
        <f ca="1">VLOOKUP($D69,모델정보데이터!$AM$4:$BQ$398,18,0)</f>
        <v>KB손보</v>
      </c>
      <c r="AA69" s="582" t="str">
        <f ca="1">VLOOKUP($D69,모델정보데이터!$AM$4:$BQ$398,12,0)</f>
        <v>일반</v>
      </c>
      <c r="AB69" s="583">
        <f ca="1">VLOOKUP($D69,모델정보데이터!$AM$4:$BQ$398,13,0)</f>
        <v>2.5000000000000001E-2</v>
      </c>
      <c r="AC69" s="582">
        <f ca="1">VLOOKUP($D69,모델정보데이터!$AM$4:$BQ$398,17,0)</f>
        <v>0</v>
      </c>
      <c r="AD69" s="582">
        <f ca="1">VLOOKUP($D69,모델정보데이터!$AM$4:$BQ$398,10,0)</f>
        <v>0</v>
      </c>
      <c r="AE69" s="582">
        <f ca="1">IFERROR(VLOOKUP(D69,모델정보데이터!$AM$3:$BD$278,27,0),0)</f>
        <v>0</v>
      </c>
      <c r="AF69" s="1134">
        <f ca="1">VLOOKUP($D69,모델정보데이터!$AM$4:$BQ$398,14,0)</f>
        <v>0</v>
      </c>
      <c r="AG69" s="260">
        <f ca="1">VLOOKUP($D69,모델정보데이터!AM:BQ,30,0)</f>
        <v>9.2999999999999999E-2</v>
      </c>
      <c r="AH69" s="260">
        <f ca="1">VLOOKUP($D69,모델정보데이터!AM:BQ,31,0)</f>
        <v>8.5999999999999993E-2</v>
      </c>
      <c r="AI69" s="260" t="str">
        <f ca="1">VLOOKUP($D69,모델정보데이터!AM:BQ,19,0)</f>
        <v>현대</v>
      </c>
      <c r="AJ69" s="69">
        <f ca="1">VLOOKUP($D69,모델정보데이터!AM:BQ,21,0)</f>
        <v>88000</v>
      </c>
      <c r="AK69" s="69">
        <f ca="1">VLOOKUP($D69,모델정보데이터!AM:BQ,22,0)</f>
        <v>312000</v>
      </c>
      <c r="AL69" s="69">
        <f ca="1">VLOOKUP($D69,모델정보데이터!AM:BQ,20,0)</f>
        <v>4.1000000000000002E-2</v>
      </c>
      <c r="AM69" s="69">
        <f ca="1">VLOOKUP($D69,모델정보데이터!AM:BQ,23,0)</f>
        <v>0</v>
      </c>
    </row>
    <row r="70" spans="2:39">
      <c r="B70" s="275"/>
      <c r="C70" s="1894" t="str">
        <f t="shared" ca="1" si="1"/>
        <v>스타리아 디젤 2.2 라운지 7인승 리무진</v>
      </c>
      <c r="D70" s="269" t="str">
        <f ca="1">IF(OFFSET($D$2,68,$B$2)=0,"",OFFSET($D$2,68,$B$2))</f>
        <v>스타리아 디젤 2.2 라운지 7인승 리무진</v>
      </c>
      <c r="E70" s="1385">
        <v>68</v>
      </c>
      <c r="F70" s="41" t="s">
        <v>1276</v>
      </c>
      <c r="G70" s="69"/>
      <c r="H70" s="41" t="s">
        <v>1148</v>
      </c>
      <c r="I70" s="69"/>
      <c r="J70" s="69"/>
      <c r="K70" s="69"/>
      <c r="O70" s="259">
        <f ca="1">VLOOKUP($D70,모델정보데이터!$AM$4:$BQ$398,3,0)</f>
        <v>2199</v>
      </c>
      <c r="P70" s="582" t="str">
        <f ca="1">VLOOKUP($D70,모델정보데이터!$AM$4:$BQ$398,4,0)</f>
        <v>D</v>
      </c>
      <c r="Q70" s="582">
        <f ca="1">VLOOKUP($D70,모델정보데이터!$AM$4:$BQ$398,5,0)</f>
        <v>7</v>
      </c>
      <c r="R70" s="582" t="str">
        <f ca="1">VLOOKUP($D70,모델정보데이터!$AM$4:$BQ$398,6,0)</f>
        <v>RV</v>
      </c>
      <c r="S70" s="582" t="str">
        <f ca="1">VLOOKUP($D70,모델정보데이터!$AM$4:$BQ$398,7,0)</f>
        <v>다인승</v>
      </c>
      <c r="T70" s="582" t="str">
        <f ca="1">VLOOKUP($D70,모델정보데이터!$AM$4:$BQ$398,15,0)</f>
        <v>M</v>
      </c>
      <c r="U70" s="582" t="str">
        <f ca="1">VLOOKUP($D70,모델정보데이터!$AM$4:$BQ$398,16,0)</f>
        <v>G</v>
      </c>
      <c r="V70" s="582" t="str">
        <f ca="1">VLOOKUP($D70,모델정보데이터!$AM$4:$BQ$398,8,0)</f>
        <v>7급</v>
      </c>
      <c r="W70" s="582" t="str">
        <f ca="1">VLOOKUP($D70,모델정보데이터!$AM$4:$BQ$398,9,0)</f>
        <v>02:울산</v>
      </c>
      <c r="X70" s="582" t="str">
        <f ca="1">VLOOKUP($D70,모델정보데이터!$AM$4:$BM$278,27,0)</f>
        <v>유림로지텍</v>
      </c>
      <c r="Y70" s="582" t="str">
        <f ca="1">VLOOKUP($D70,모델정보데이터!$AM$4:$BQ$398,11,0)</f>
        <v>D</v>
      </c>
      <c r="Z70" s="582" t="str">
        <f ca="1">VLOOKUP($D70,모델정보데이터!$AM$4:$BQ$398,18,0)</f>
        <v>KB손보</v>
      </c>
      <c r="AA70" s="582" t="str">
        <f ca="1">VLOOKUP($D70,모델정보데이터!$AM$4:$BQ$398,12,0)</f>
        <v>일반</v>
      </c>
      <c r="AB70" s="583">
        <f ca="1">VLOOKUP($D70,모델정보데이터!$AM$4:$BQ$398,13,0)</f>
        <v>2.5000000000000001E-2</v>
      </c>
      <c r="AC70" s="582">
        <f ca="1">VLOOKUP($D70,모델정보데이터!$AM$4:$BQ$398,17,0)</f>
        <v>0</v>
      </c>
      <c r="AD70" s="582">
        <f ca="1">VLOOKUP($D70,모델정보데이터!$AM$4:$BQ$398,10,0)</f>
        <v>0</v>
      </c>
      <c r="AE70" s="582">
        <f ca="1">IFERROR(VLOOKUP(D70,모델정보데이터!$AM$3:$BD$278,27,0),0)</f>
        <v>0</v>
      </c>
      <c r="AF70" s="1134">
        <f ca="1">VLOOKUP($D70,모델정보데이터!$AM$4:$BQ$398,14,0)</f>
        <v>0</v>
      </c>
      <c r="AG70" s="260">
        <f ca="1">VLOOKUP($D70,모델정보데이터!AM:BQ,30,0)</f>
        <v>9.2999999999999999E-2</v>
      </c>
      <c r="AH70" s="260">
        <f ca="1">VLOOKUP($D70,모델정보데이터!AM:BQ,31,0)</f>
        <v>8.5999999999999993E-2</v>
      </c>
      <c r="AI70" s="260" t="str">
        <f ca="1">VLOOKUP($D70,모델정보데이터!AM:BQ,19,0)</f>
        <v>현대</v>
      </c>
      <c r="AJ70" s="69">
        <f ca="1">VLOOKUP($D70,모델정보데이터!AM:BQ,21,0)</f>
        <v>88000</v>
      </c>
      <c r="AK70" s="69">
        <f ca="1">VLOOKUP($D70,모델정보데이터!AM:BQ,22,0)</f>
        <v>312000</v>
      </c>
      <c r="AL70" s="69">
        <f ca="1">VLOOKUP($D70,모델정보데이터!AM:BQ,20,0)</f>
        <v>4.1000000000000002E-2</v>
      </c>
      <c r="AM70" s="69">
        <f ca="1">VLOOKUP($D70,모델정보데이터!AM:BQ,23,0)</f>
        <v>0</v>
      </c>
    </row>
    <row r="71" spans="2:39">
      <c r="B71" s="275"/>
      <c r="C71" s="1894" t="str">
        <f t="shared" ca="1" si="1"/>
        <v>스타리아 디젤 2.2 라운지 9인승 리무진</v>
      </c>
      <c r="D71" s="269" t="str">
        <f ca="1">IF(OFFSET($D$2,69,$B$2)=0,"",OFFSET($D$2,69,$B$2))</f>
        <v>스타리아 디젤 2.2 라운지 9인승 리무진</v>
      </c>
      <c r="E71" s="1385">
        <v>69</v>
      </c>
      <c r="F71" s="41" t="s">
        <v>1277</v>
      </c>
      <c r="G71" s="69"/>
      <c r="H71" s="41" t="s">
        <v>1085</v>
      </c>
      <c r="I71" s="69"/>
      <c r="J71" s="69"/>
      <c r="K71" s="69"/>
      <c r="O71" s="259">
        <f ca="1">VLOOKUP($D71,모델정보데이터!$AM$4:$BQ$398,3,0)</f>
        <v>2199</v>
      </c>
      <c r="P71" s="582" t="str">
        <f ca="1">VLOOKUP($D71,모델정보데이터!$AM$4:$BQ$398,4,0)</f>
        <v>D</v>
      </c>
      <c r="Q71" s="582">
        <f ca="1">VLOOKUP($D71,모델정보데이터!$AM$4:$BQ$398,5,0)</f>
        <v>9</v>
      </c>
      <c r="R71" s="582" t="str">
        <f ca="1">VLOOKUP($D71,모델정보데이터!$AM$4:$BQ$398,6,0)</f>
        <v>RV</v>
      </c>
      <c r="S71" s="582" t="str">
        <f ca="1">VLOOKUP($D71,모델정보데이터!$AM$4:$BQ$398,7,0)</f>
        <v>다인승</v>
      </c>
      <c r="T71" s="582" t="str">
        <f ca="1">VLOOKUP($D71,모델정보데이터!$AM$4:$BQ$398,15,0)</f>
        <v>M</v>
      </c>
      <c r="U71" s="582" t="str">
        <f ca="1">VLOOKUP($D71,모델정보데이터!$AM$4:$BQ$398,16,0)</f>
        <v>G</v>
      </c>
      <c r="V71" s="582" t="str">
        <f ca="1">VLOOKUP($D71,모델정보데이터!$AM$4:$BQ$398,8,0)</f>
        <v>7급</v>
      </c>
      <c r="W71" s="582" t="str">
        <f ca="1">VLOOKUP($D71,모델정보데이터!$AM$4:$BQ$398,9,0)</f>
        <v>02:울산</v>
      </c>
      <c r="X71" s="582" t="str">
        <f ca="1">VLOOKUP($D71,모델정보데이터!$AM$4:$BM$278,27,0)</f>
        <v>유림로지텍</v>
      </c>
      <c r="Y71" s="582" t="str">
        <f ca="1">VLOOKUP($D71,모델정보데이터!$AM$4:$BQ$398,11,0)</f>
        <v>D</v>
      </c>
      <c r="Z71" s="582" t="str">
        <f ca="1">VLOOKUP($D71,모델정보데이터!$AM$4:$BQ$398,18,0)</f>
        <v>KB손보</v>
      </c>
      <c r="AA71" s="582" t="str">
        <f ca="1">VLOOKUP($D71,모델정보데이터!$AM$4:$BQ$398,12,0)</f>
        <v>일반</v>
      </c>
      <c r="AB71" s="583">
        <f ca="1">VLOOKUP($D71,모델정보데이터!$AM$4:$BQ$398,13,0)</f>
        <v>2.5000000000000001E-2</v>
      </c>
      <c r="AC71" s="582">
        <f ca="1">VLOOKUP($D71,모델정보데이터!$AM$4:$BQ$398,17,0)</f>
        <v>0</v>
      </c>
      <c r="AD71" s="582">
        <f ca="1">VLOOKUP($D71,모델정보데이터!$AM$4:$BQ$398,10,0)</f>
        <v>0</v>
      </c>
      <c r="AE71" s="582">
        <f ca="1">IFERROR(VLOOKUP(D71,모델정보데이터!$AM$3:$BD$278,27,0),0)</f>
        <v>0</v>
      </c>
      <c r="AF71" s="1134">
        <f ca="1">VLOOKUP($D71,모델정보데이터!$AM$4:$BQ$398,14,0)</f>
        <v>0</v>
      </c>
      <c r="AG71" s="260">
        <f ca="1">VLOOKUP($D71,모델정보데이터!AM:BQ,30,0)</f>
        <v>9.2999999999999999E-2</v>
      </c>
      <c r="AH71" s="260">
        <f ca="1">VLOOKUP($D71,모델정보데이터!AM:BQ,31,0)</f>
        <v>8.5999999999999993E-2</v>
      </c>
      <c r="AI71" s="260" t="str">
        <f ca="1">VLOOKUP($D71,모델정보데이터!AM:BQ,19,0)</f>
        <v>현대</v>
      </c>
      <c r="AJ71" s="69">
        <f ca="1">VLOOKUP($D71,모델정보데이터!AM:BQ,21,0)</f>
        <v>88000</v>
      </c>
      <c r="AK71" s="69">
        <f ca="1">VLOOKUP($D71,모델정보데이터!AM:BQ,22,0)</f>
        <v>312000</v>
      </c>
      <c r="AL71" s="69">
        <f ca="1">VLOOKUP($D71,모델정보데이터!AM:BQ,20,0)</f>
        <v>4.1000000000000002E-2</v>
      </c>
      <c r="AM71" s="69">
        <f ca="1">VLOOKUP($D71,모델정보데이터!AM:BQ,23,0)</f>
        <v>0</v>
      </c>
    </row>
    <row r="72" spans="2:39">
      <c r="B72" s="275"/>
      <c r="C72" s="1894" t="str">
        <f t="shared" ca="1" si="1"/>
        <v>스타리아 LPG 3.5 라운지 9인승</v>
      </c>
      <c r="D72" s="269" t="str">
        <f ca="1">IF(OFFSET($D$2,70,$B$2)=0,"",OFFSET($D$2,70,$B$2))</f>
        <v>스타리아 LPG 3.5 라운지 9인승</v>
      </c>
      <c r="E72" s="1385">
        <v>70</v>
      </c>
      <c r="F72" s="41" t="s">
        <v>1066</v>
      </c>
      <c r="G72" s="69"/>
      <c r="H72" s="41" t="s">
        <v>1086</v>
      </c>
      <c r="I72" s="69"/>
      <c r="J72" s="69"/>
      <c r="K72" s="69"/>
      <c r="O72" s="259">
        <f ca="1">VLOOKUP($D72,모델정보데이터!$AM$4:$BQ$398,3,0)</f>
        <v>3470</v>
      </c>
      <c r="P72" s="582" t="str">
        <f ca="1">VLOOKUP($D72,모델정보데이터!$AM$4:$BQ$398,4,0)</f>
        <v>L</v>
      </c>
      <c r="Q72" s="582">
        <f ca="1">VLOOKUP($D72,모델정보데이터!$AM$4:$BQ$398,5,0)</f>
        <v>9</v>
      </c>
      <c r="R72" s="582" t="str">
        <f ca="1">VLOOKUP($D72,모델정보데이터!$AM$4:$BQ$398,6,0)</f>
        <v>RV</v>
      </c>
      <c r="S72" s="582" t="str">
        <f ca="1">VLOOKUP($D72,모델정보데이터!$AM$4:$BQ$398,7,0)</f>
        <v>다인승</v>
      </c>
      <c r="T72" s="582" t="str">
        <f ca="1">VLOOKUP($D72,모델정보데이터!$AM$4:$BQ$398,15,0)</f>
        <v>H</v>
      </c>
      <c r="U72" s="582" t="str">
        <f ca="1">VLOOKUP($D72,모델정보데이터!$AM$4:$BQ$398,16,0)</f>
        <v>A</v>
      </c>
      <c r="V72" s="582" t="str">
        <f ca="1">VLOOKUP($D72,모델정보데이터!$AM$4:$BQ$398,8,0)</f>
        <v>7급</v>
      </c>
      <c r="W72" s="582" t="str">
        <f ca="1">VLOOKUP($D72,모델정보데이터!$AM$4:$BQ$398,9,0)</f>
        <v>02:울산</v>
      </c>
      <c r="X72" s="582" t="str">
        <f ca="1">VLOOKUP($D72,모델정보데이터!$AM$4:$BM$278,27,0)</f>
        <v>유림로지텍</v>
      </c>
      <c r="Y72" s="582" t="str">
        <f ca="1">VLOOKUP($D72,모델정보데이터!$AM$4:$BQ$398,11,0)</f>
        <v>D</v>
      </c>
      <c r="Z72" s="582" t="str">
        <f ca="1">VLOOKUP($D72,모델정보데이터!$AM$4:$BQ$398,18,0)</f>
        <v>KB손보</v>
      </c>
      <c r="AA72" s="582" t="str">
        <f ca="1">VLOOKUP($D72,모델정보데이터!$AM$4:$BQ$398,12,0)</f>
        <v>일반</v>
      </c>
      <c r="AB72" s="583">
        <f ca="1">VLOOKUP($D72,모델정보데이터!$AM$4:$BQ$398,13,0)</f>
        <v>2.5000000000000001E-2</v>
      </c>
      <c r="AC72" s="582">
        <f ca="1">VLOOKUP($D72,모델정보데이터!$AM$4:$BQ$398,17,0)</f>
        <v>0</v>
      </c>
      <c r="AD72" s="582">
        <f ca="1">VLOOKUP($D72,모델정보데이터!$AM$4:$BQ$398,10,0)</f>
        <v>0</v>
      </c>
      <c r="AE72" s="582">
        <f ca="1">IFERROR(VLOOKUP(D72,모델정보데이터!$AM$3:$BD$278,27,0),0)</f>
        <v>0</v>
      </c>
      <c r="AF72" s="1134">
        <f ca="1">VLOOKUP($D72,모델정보데이터!$AM$4:$BQ$398,14,0)</f>
        <v>0</v>
      </c>
      <c r="AG72" s="260">
        <f ca="1">VLOOKUP($D72,모델정보데이터!AM:BQ,30,0)</f>
        <v>9.2999999999999999E-2</v>
      </c>
      <c r="AH72" s="260">
        <f ca="1">VLOOKUP($D72,모델정보데이터!AM:BQ,31,0)</f>
        <v>8.5999999999999993E-2</v>
      </c>
      <c r="AI72" s="260" t="str">
        <f ca="1">VLOOKUP($D72,모델정보데이터!AM:BQ,19,0)</f>
        <v>현대</v>
      </c>
      <c r="AJ72" s="69">
        <f ca="1">VLOOKUP($D72,모델정보데이터!AM:BQ,21,0)</f>
        <v>88000</v>
      </c>
      <c r="AK72" s="69">
        <f ca="1">VLOOKUP($D72,모델정보데이터!AM:BQ,22,0)</f>
        <v>312000</v>
      </c>
      <c r="AL72" s="69">
        <f ca="1">VLOOKUP($D72,모델정보데이터!AM:BQ,20,0)</f>
        <v>4.1000000000000002E-2</v>
      </c>
      <c r="AM72" s="69">
        <f ca="1">VLOOKUP($D72,모델정보데이터!AM:BQ,23,0)</f>
        <v>0</v>
      </c>
    </row>
    <row r="73" spans="2:39">
      <c r="B73" s="275"/>
      <c r="C73" s="1894" t="str">
        <f t="shared" ca="1" si="1"/>
        <v>스타리아 LPG 3.5 라운지 7인승</v>
      </c>
      <c r="D73" s="269" t="str">
        <f ca="1">IF(OFFSET($D$2,71,$B$2)=0,"",OFFSET($D$2,71,$B$2))</f>
        <v>스타리아 LPG 3.5 라운지 7인승</v>
      </c>
      <c r="E73" s="1385">
        <v>71</v>
      </c>
      <c r="F73" s="41" t="s">
        <v>1067</v>
      </c>
      <c r="G73" s="69"/>
      <c r="H73" s="41" t="s">
        <v>1087</v>
      </c>
      <c r="I73" s="69"/>
      <c r="J73" s="69"/>
      <c r="K73" s="69"/>
      <c r="O73" s="259">
        <f ca="1">VLOOKUP($D73,모델정보데이터!$AM$4:$BQ$398,3,0)</f>
        <v>3470</v>
      </c>
      <c r="P73" s="582" t="str">
        <f ca="1">VLOOKUP($D73,모델정보데이터!$AM$4:$BQ$398,4,0)</f>
        <v>L</v>
      </c>
      <c r="Q73" s="582">
        <f ca="1">VLOOKUP($D73,모델정보데이터!$AM$4:$BQ$398,5,0)</f>
        <v>7</v>
      </c>
      <c r="R73" s="582" t="str">
        <f ca="1">VLOOKUP($D73,모델정보데이터!$AM$4:$BQ$398,6,0)</f>
        <v>RV</v>
      </c>
      <c r="S73" s="582" t="str">
        <f ca="1">VLOOKUP($D73,모델정보데이터!$AM$4:$BQ$398,7,0)</f>
        <v>다인승</v>
      </c>
      <c r="T73" s="582" t="str">
        <f ca="1">VLOOKUP($D73,모델정보데이터!$AM$4:$BQ$398,15,0)</f>
        <v>H</v>
      </c>
      <c r="U73" s="582" t="str">
        <f ca="1">VLOOKUP($D73,모델정보데이터!$AM$4:$BQ$398,16,0)</f>
        <v>A</v>
      </c>
      <c r="V73" s="582" t="str">
        <f ca="1">VLOOKUP($D73,모델정보데이터!$AM$4:$BQ$398,8,0)</f>
        <v>7급</v>
      </c>
      <c r="W73" s="582" t="str">
        <f ca="1">VLOOKUP($D73,모델정보데이터!$AM$4:$BQ$398,9,0)</f>
        <v>02:울산</v>
      </c>
      <c r="X73" s="582" t="str">
        <f ca="1">VLOOKUP($D73,모델정보데이터!$AM$4:$BM$278,27,0)</f>
        <v>유림로지텍</v>
      </c>
      <c r="Y73" s="582" t="str">
        <f ca="1">VLOOKUP($D73,모델정보데이터!$AM$4:$BQ$398,11,0)</f>
        <v>D</v>
      </c>
      <c r="Z73" s="582" t="str">
        <f ca="1">VLOOKUP($D73,모델정보데이터!$AM$4:$BQ$398,18,0)</f>
        <v>KB손보</v>
      </c>
      <c r="AA73" s="582" t="str">
        <f ca="1">VLOOKUP($D73,모델정보데이터!$AM$4:$BQ$398,12,0)</f>
        <v>일반</v>
      </c>
      <c r="AB73" s="583">
        <f ca="1">VLOOKUP($D73,모델정보데이터!$AM$4:$BQ$398,13,0)</f>
        <v>2.5000000000000001E-2</v>
      </c>
      <c r="AC73" s="582">
        <f ca="1">VLOOKUP($D73,모델정보데이터!$AM$4:$BQ$398,17,0)</f>
        <v>0</v>
      </c>
      <c r="AD73" s="582">
        <f ca="1">VLOOKUP($D73,모델정보데이터!$AM$4:$BQ$398,10,0)</f>
        <v>0</v>
      </c>
      <c r="AE73" s="582">
        <f ca="1">IFERROR(VLOOKUP(D73,모델정보데이터!$AM$3:$BD$278,27,0),0)</f>
        <v>0</v>
      </c>
      <c r="AF73" s="1134">
        <f ca="1">VLOOKUP($D73,모델정보데이터!$AM$4:$BQ$398,14,0)</f>
        <v>0</v>
      </c>
      <c r="AG73" s="260">
        <f ca="1">VLOOKUP($D73,모델정보데이터!AM:BQ,30,0)</f>
        <v>9.2999999999999999E-2</v>
      </c>
      <c r="AH73" s="260">
        <f ca="1">VLOOKUP($D73,모델정보데이터!AM:BQ,31,0)</f>
        <v>8.5999999999999993E-2</v>
      </c>
      <c r="AI73" s="260" t="str">
        <f ca="1">VLOOKUP($D73,모델정보데이터!AM:BQ,19,0)</f>
        <v>현대</v>
      </c>
      <c r="AJ73" s="69">
        <f ca="1">VLOOKUP($D73,모델정보데이터!AM:BQ,21,0)</f>
        <v>88000</v>
      </c>
      <c r="AK73" s="69">
        <f ca="1">VLOOKUP($D73,모델정보데이터!AM:BQ,22,0)</f>
        <v>312000</v>
      </c>
      <c r="AL73" s="69">
        <f ca="1">VLOOKUP($D73,모델정보데이터!AM:BQ,20,0)</f>
        <v>4.1000000000000002E-2</v>
      </c>
      <c r="AM73" s="69">
        <f ca="1">VLOOKUP($D73,모델정보데이터!AM:BQ,23,0)</f>
        <v>0</v>
      </c>
    </row>
    <row r="74" spans="2:39">
      <c r="B74" s="275"/>
      <c r="C74" s="1894" t="str">
        <f t="shared" ca="1" si="1"/>
        <v>——————————◆베뉴◆——————————————</v>
      </c>
      <c r="D74" s="269" t="str">
        <f ca="1">IF(OFFSET($D$2,72,$B$2)=0,"",OFFSET($D$2,72,$B$2))</f>
        <v>——————————◆베뉴◆——————————————</v>
      </c>
      <c r="E74" s="1385">
        <v>72</v>
      </c>
      <c r="F74" s="41" t="s">
        <v>975</v>
      </c>
      <c r="G74" s="69"/>
      <c r="H74" s="41" t="s">
        <v>1088</v>
      </c>
      <c r="I74" s="69"/>
      <c r="J74" s="69"/>
      <c r="K74" s="69"/>
      <c r="O74" s="259" t="e">
        <f ca="1">VLOOKUP($D74,모델정보데이터!$AM$4:$BQ$398,3,0)</f>
        <v>#N/A</v>
      </c>
      <c r="P74" s="582" t="e">
        <f ca="1">VLOOKUP($D74,모델정보데이터!$AM$4:$BQ$398,4,0)</f>
        <v>#N/A</v>
      </c>
      <c r="Q74" s="582" t="e">
        <f ca="1">VLOOKUP($D74,모델정보데이터!$AM$4:$BQ$398,5,0)</f>
        <v>#N/A</v>
      </c>
      <c r="R74" s="582" t="e">
        <f ca="1">VLOOKUP($D74,모델정보데이터!$AM$4:$BQ$398,6,0)</f>
        <v>#N/A</v>
      </c>
      <c r="S74" s="582" t="e">
        <f ca="1">VLOOKUP($D74,모델정보데이터!$AM$4:$BQ$398,7,0)</f>
        <v>#N/A</v>
      </c>
      <c r="T74" s="582" t="e">
        <f ca="1">VLOOKUP($D74,모델정보데이터!$AM$4:$BQ$398,15,0)</f>
        <v>#N/A</v>
      </c>
      <c r="U74" s="582" t="e">
        <f ca="1">VLOOKUP($D74,모델정보데이터!$AM$4:$BQ$398,16,0)</f>
        <v>#N/A</v>
      </c>
      <c r="V74" s="582" t="e">
        <f ca="1">VLOOKUP($D74,모델정보데이터!$AM$4:$BQ$398,8,0)</f>
        <v>#N/A</v>
      </c>
      <c r="W74" s="582" t="e">
        <f ca="1">VLOOKUP($D74,모델정보데이터!$AM$4:$BQ$398,9,0)</f>
        <v>#N/A</v>
      </c>
      <c r="X74" s="582" t="e">
        <f ca="1">VLOOKUP($D74,모델정보데이터!$AM$4:$BM$278,27,0)</f>
        <v>#N/A</v>
      </c>
      <c r="Y74" s="582" t="e">
        <f ca="1">VLOOKUP($D74,모델정보데이터!$AM$4:$BQ$398,11,0)</f>
        <v>#N/A</v>
      </c>
      <c r="Z74" s="582" t="e">
        <f ca="1">VLOOKUP($D74,모델정보데이터!$AM$4:$BQ$398,18,0)</f>
        <v>#N/A</v>
      </c>
      <c r="AA74" s="582" t="e">
        <f ca="1">VLOOKUP($D74,모델정보데이터!$AM$4:$BQ$398,12,0)</f>
        <v>#N/A</v>
      </c>
      <c r="AB74" s="583" t="e">
        <f ca="1">VLOOKUP($D74,모델정보데이터!$AM$4:$BQ$398,13,0)</f>
        <v>#N/A</v>
      </c>
      <c r="AC74" s="582" t="e">
        <f ca="1">VLOOKUP($D74,모델정보데이터!$AM$4:$BQ$398,17,0)</f>
        <v>#N/A</v>
      </c>
      <c r="AD74" s="582" t="e">
        <f ca="1">VLOOKUP($D74,모델정보데이터!$AM$4:$BQ$398,10,0)</f>
        <v>#N/A</v>
      </c>
      <c r="AE74" s="582">
        <f ca="1">IFERROR(VLOOKUP(D74,모델정보데이터!$AM$3:$BD$278,27,0),0)</f>
        <v>0</v>
      </c>
      <c r="AF74" s="1134" t="e">
        <f ca="1">VLOOKUP($D74,모델정보데이터!$AM$4:$BQ$398,14,0)</f>
        <v>#N/A</v>
      </c>
      <c r="AG74" s="260" t="e">
        <f ca="1">VLOOKUP($D74,모델정보데이터!AM:BQ,30,0)</f>
        <v>#N/A</v>
      </c>
      <c r="AH74" s="260" t="e">
        <f ca="1">VLOOKUP($D74,모델정보데이터!AM:BQ,31,0)</f>
        <v>#N/A</v>
      </c>
      <c r="AI74" s="260" t="e">
        <f ca="1">VLOOKUP($D74,모델정보데이터!AM:BQ,19,0)</f>
        <v>#N/A</v>
      </c>
      <c r="AJ74" s="69" t="e">
        <f ca="1">VLOOKUP($D74,모델정보데이터!AM:BQ,21,0)</f>
        <v>#N/A</v>
      </c>
      <c r="AK74" s="69" t="e">
        <f ca="1">VLOOKUP($D74,모델정보데이터!AM:BQ,22,0)</f>
        <v>#N/A</v>
      </c>
      <c r="AL74" s="69" t="e">
        <f ca="1">VLOOKUP($D74,모델정보데이터!AM:BQ,20,0)</f>
        <v>#N/A</v>
      </c>
      <c r="AM74" s="69" t="e">
        <f ca="1">VLOOKUP($D74,모델정보데이터!AM:BQ,23,0)</f>
        <v>#N/A</v>
      </c>
    </row>
    <row r="75" spans="2:39" ht="13.5" thickBot="1">
      <c r="B75" s="275"/>
      <c r="C75" s="1894" t="str">
        <f t="shared" ca="1" si="1"/>
        <v xml:space="preserve">베뉴 가솔린 1.6 </v>
      </c>
      <c r="D75" s="269" t="str">
        <f ca="1">IF(OFFSET($D$2,73,$B$2)=0,"",OFFSET($D$2,73,$B$2))</f>
        <v xml:space="preserve">베뉴 가솔린 1.6 </v>
      </c>
      <c r="E75" s="1385">
        <v>73</v>
      </c>
      <c r="F75" s="41" t="s">
        <v>1068</v>
      </c>
      <c r="G75" s="69"/>
      <c r="H75" s="274" t="s">
        <v>1089</v>
      </c>
      <c r="I75" s="69"/>
      <c r="J75" s="69"/>
      <c r="K75" s="69"/>
      <c r="O75" s="259">
        <f ca="1">VLOOKUP($D75,모델정보데이터!$AM$4:$BQ$398,3,0)</f>
        <v>1598</v>
      </c>
      <c r="P75" s="582" t="str">
        <f ca="1">VLOOKUP($D75,모델정보데이터!$AM$4:$BQ$398,4,0)</f>
        <v>M</v>
      </c>
      <c r="Q75" s="582">
        <f ca="1">VLOOKUP($D75,모델정보데이터!$AM$4:$BQ$398,5,0)</f>
        <v>5</v>
      </c>
      <c r="R75" s="582" t="str">
        <f ca="1">VLOOKUP($D75,모델정보데이터!$AM$4:$BQ$398,6,0)</f>
        <v>RV</v>
      </c>
      <c r="S75" s="582" t="str">
        <f ca="1">VLOOKUP($D75,모델정보데이터!$AM$4:$BQ$398,7,0)</f>
        <v>승용</v>
      </c>
      <c r="T75" s="582" t="str">
        <f ca="1">VLOOKUP($D75,모델정보데이터!$AM$4:$BQ$398,15,0)</f>
        <v>E</v>
      </c>
      <c r="U75" s="582" t="str">
        <f ca="1">VLOOKUP($D75,모델정보데이터!$AM$4:$BQ$398,16,0)</f>
        <v>A1</v>
      </c>
      <c r="V75" s="582" t="str">
        <f ca="1">VLOOKUP($D75,모델정보데이터!$AM$4:$BQ$398,8,0)</f>
        <v>7급</v>
      </c>
      <c r="W75" s="582" t="str">
        <f ca="1">VLOOKUP($D75,모델정보데이터!$AM$4:$BQ$398,9,0)</f>
        <v>02:울산</v>
      </c>
      <c r="X75" s="582" t="str">
        <f ca="1">VLOOKUP($D75,모델정보데이터!$AM$4:$BM$278,27,0)</f>
        <v>유림로지텍</v>
      </c>
      <c r="Y75" s="582" t="str">
        <f ca="1">VLOOKUP($D75,모델정보데이터!$AM$4:$BQ$398,11,0)</f>
        <v>D</v>
      </c>
      <c r="Z75" s="582" t="str">
        <f ca="1">VLOOKUP($D75,모델정보데이터!$AM$4:$BQ$398,18,0)</f>
        <v>KB손보</v>
      </c>
      <c r="AA75" s="582" t="str">
        <f ca="1">VLOOKUP($D75,모델정보데이터!$AM$4:$BQ$398,12,0)</f>
        <v>일반</v>
      </c>
      <c r="AB75" s="583">
        <f ca="1">VLOOKUP($D75,모델정보데이터!$AM$4:$BQ$398,13,0)</f>
        <v>2.5000000000000001E-2</v>
      </c>
      <c r="AC75" s="582">
        <f ca="1">VLOOKUP($D75,모델정보데이터!$AM$4:$BQ$398,17,0)</f>
        <v>0</v>
      </c>
      <c r="AD75" s="582">
        <f ca="1">VLOOKUP($D75,모델정보데이터!$AM$4:$BQ$398,10,0)</f>
        <v>0</v>
      </c>
      <c r="AE75" s="582">
        <f ca="1">IFERROR(VLOOKUP(D75,모델정보데이터!$AM$3:$BD$278,27,0),0)</f>
        <v>0</v>
      </c>
      <c r="AF75" s="1134">
        <f ca="1">VLOOKUP($D75,모델정보데이터!$AM$4:$BQ$398,14,0)</f>
        <v>0</v>
      </c>
      <c r="AG75" s="260">
        <f ca="1">VLOOKUP($D75,모델정보데이터!AM:BQ,30,0)</f>
        <v>9.2999999999999999E-2</v>
      </c>
      <c r="AH75" s="260">
        <f ca="1">VLOOKUP($D75,모델정보데이터!AM:BQ,31,0)</f>
        <v>8.5999999999999993E-2</v>
      </c>
      <c r="AI75" s="260" t="str">
        <f ca="1">VLOOKUP($D75,모델정보데이터!AM:BQ,19,0)</f>
        <v>현대</v>
      </c>
      <c r="AJ75" s="69">
        <f ca="1">VLOOKUP($D75,모델정보데이터!AM:BQ,21,0)</f>
        <v>75000</v>
      </c>
      <c r="AK75" s="69">
        <f ca="1">VLOOKUP($D75,모델정보데이터!AM:BQ,22,0)</f>
        <v>299000</v>
      </c>
      <c r="AL75" s="69">
        <f ca="1">VLOOKUP($D75,모델정보데이터!AM:BQ,20,0)</f>
        <v>4.1000000000000002E-2</v>
      </c>
      <c r="AM75" s="69">
        <f ca="1">VLOOKUP($D75,모델정보데이터!AM:BQ,23,0)</f>
        <v>0</v>
      </c>
    </row>
    <row r="76" spans="2:39">
      <c r="B76" s="275"/>
      <c r="C76" s="1894" t="str">
        <f t="shared" ca="1" si="1"/>
        <v>——————————◆코나◆——————————————</v>
      </c>
      <c r="D76" s="269" t="str">
        <f ca="1">IF(OFFSET($D$2,74,$B$2)=0,"",OFFSET($D$2,74,$B$2))</f>
        <v>——————————◆코나◆——————————————</v>
      </c>
      <c r="E76" s="1385">
        <v>74</v>
      </c>
      <c r="F76" s="41" t="s">
        <v>1069</v>
      </c>
      <c r="G76" s="69"/>
      <c r="I76" s="69"/>
      <c r="J76" s="69"/>
      <c r="K76" s="69"/>
      <c r="O76" s="259" t="e">
        <f ca="1">VLOOKUP($D76,모델정보데이터!$AM$4:$BQ$398,3,0)</f>
        <v>#N/A</v>
      </c>
      <c r="P76" s="582" t="e">
        <f ca="1">VLOOKUP($D76,모델정보데이터!$AM$4:$BQ$398,4,0)</f>
        <v>#N/A</v>
      </c>
      <c r="Q76" s="582" t="e">
        <f ca="1">VLOOKUP($D76,모델정보데이터!$AM$4:$BQ$398,5,0)</f>
        <v>#N/A</v>
      </c>
      <c r="R76" s="582" t="e">
        <f ca="1">VLOOKUP($D76,모델정보데이터!$AM$4:$BQ$398,6,0)</f>
        <v>#N/A</v>
      </c>
      <c r="S76" s="582" t="e">
        <f ca="1">VLOOKUP($D76,모델정보데이터!$AM$4:$BQ$398,7,0)</f>
        <v>#N/A</v>
      </c>
      <c r="T76" s="582" t="e">
        <f ca="1">VLOOKUP($D76,모델정보데이터!$AM$4:$BQ$398,15,0)</f>
        <v>#N/A</v>
      </c>
      <c r="U76" s="582" t="e">
        <f ca="1">VLOOKUP($D76,모델정보데이터!$AM$4:$BQ$398,16,0)</f>
        <v>#N/A</v>
      </c>
      <c r="V76" s="582" t="e">
        <f ca="1">VLOOKUP($D76,모델정보데이터!$AM$4:$BQ$398,8,0)</f>
        <v>#N/A</v>
      </c>
      <c r="W76" s="582" t="e">
        <f ca="1">VLOOKUP($D76,모델정보데이터!$AM$4:$BQ$398,9,0)</f>
        <v>#N/A</v>
      </c>
      <c r="X76" s="582" t="e">
        <f ca="1">VLOOKUP($D76,모델정보데이터!$AM$4:$BM$278,27,0)</f>
        <v>#N/A</v>
      </c>
      <c r="Y76" s="582" t="e">
        <f ca="1">VLOOKUP($D76,모델정보데이터!$AM$4:$BQ$398,11,0)</f>
        <v>#N/A</v>
      </c>
      <c r="Z76" s="582" t="e">
        <f ca="1">VLOOKUP($D76,모델정보데이터!$AM$4:$BQ$398,18,0)</f>
        <v>#N/A</v>
      </c>
      <c r="AA76" s="582" t="e">
        <f ca="1">VLOOKUP($D76,모델정보데이터!$AM$4:$BQ$398,12,0)</f>
        <v>#N/A</v>
      </c>
      <c r="AB76" s="583" t="e">
        <f ca="1">VLOOKUP($D76,모델정보데이터!$AM$4:$BQ$398,13,0)</f>
        <v>#N/A</v>
      </c>
      <c r="AC76" s="582" t="e">
        <f ca="1">VLOOKUP($D76,모델정보데이터!$AM$4:$BQ$398,17,0)</f>
        <v>#N/A</v>
      </c>
      <c r="AD76" s="582" t="e">
        <f ca="1">VLOOKUP($D76,모델정보데이터!$AM$4:$BQ$398,10,0)</f>
        <v>#N/A</v>
      </c>
      <c r="AE76" s="582">
        <f ca="1">IFERROR(VLOOKUP(D76,모델정보데이터!$AM$3:$BD$278,27,0),0)</f>
        <v>0</v>
      </c>
      <c r="AF76" s="1134" t="e">
        <f ca="1">VLOOKUP($D76,모델정보데이터!$AM$4:$BQ$398,14,0)</f>
        <v>#N/A</v>
      </c>
      <c r="AG76" s="260" t="e">
        <f ca="1">VLOOKUP($D76,모델정보데이터!AM:BQ,30,0)</f>
        <v>#N/A</v>
      </c>
      <c r="AH76" s="260" t="e">
        <f ca="1">VLOOKUP($D76,모델정보데이터!AM:BQ,31,0)</f>
        <v>#N/A</v>
      </c>
      <c r="AI76" s="260" t="e">
        <f ca="1">VLOOKUP($D76,모델정보데이터!AM:BQ,19,0)</f>
        <v>#N/A</v>
      </c>
      <c r="AJ76" s="69" t="e">
        <f ca="1">VLOOKUP($D76,모델정보데이터!AM:BQ,21,0)</f>
        <v>#N/A</v>
      </c>
      <c r="AK76" s="69" t="e">
        <f ca="1">VLOOKUP($D76,모델정보데이터!AM:BQ,22,0)</f>
        <v>#N/A</v>
      </c>
      <c r="AL76" s="69" t="e">
        <f ca="1">VLOOKUP($D76,모델정보데이터!AM:BQ,20,0)</f>
        <v>#N/A</v>
      </c>
      <c r="AM76" s="69" t="e">
        <f ca="1">VLOOKUP($D76,모델정보데이터!AM:BQ,23,0)</f>
        <v>#N/A</v>
      </c>
    </row>
    <row r="77" spans="2:39">
      <c r="B77" s="275"/>
      <c r="C77" s="1894" t="str">
        <f t="shared" ca="1" si="1"/>
        <v xml:space="preserve">코나 가솔린 터보 1.6 </v>
      </c>
      <c r="D77" s="269" t="str">
        <f ca="1">IF(OFFSET($D$2,75,$B$2)=0,"",OFFSET($D$2,75,$B$2))</f>
        <v xml:space="preserve">코나 가솔린 터보 1.6 </v>
      </c>
      <c r="E77" s="1385">
        <v>75</v>
      </c>
      <c r="F77" s="41" t="s">
        <v>1428</v>
      </c>
      <c r="G77" s="69"/>
      <c r="I77" s="69"/>
      <c r="J77" s="69"/>
      <c r="K77" s="69"/>
      <c r="O77" s="259">
        <f ca="1">VLOOKUP($D77,모델정보데이터!$AM$4:$BQ$398,3,0)</f>
        <v>1598</v>
      </c>
      <c r="P77" s="582" t="str">
        <f ca="1">VLOOKUP($D77,모델정보데이터!$AM$4:$BQ$398,4,0)</f>
        <v>M</v>
      </c>
      <c r="Q77" s="582">
        <f ca="1">VLOOKUP($D77,모델정보데이터!$AM$4:$BQ$398,5,0)</f>
        <v>5</v>
      </c>
      <c r="R77" s="582" t="str">
        <f ca="1">VLOOKUP($D77,모델정보데이터!$AM$4:$BQ$398,6,0)</f>
        <v>RV</v>
      </c>
      <c r="S77" s="582" t="str">
        <f ca="1">VLOOKUP($D77,모델정보데이터!$AM$4:$BQ$398,7,0)</f>
        <v>승용</v>
      </c>
      <c r="T77" s="582" t="str">
        <f ca="1">VLOOKUP($D77,모델정보데이터!$AM$4:$BQ$398,15,0)</f>
        <v>E</v>
      </c>
      <c r="U77" s="582" t="str">
        <f ca="1">VLOOKUP($D77,모델정보데이터!$AM$4:$BQ$398,16,0)</f>
        <v>A2</v>
      </c>
      <c r="V77" s="582" t="str">
        <f ca="1">VLOOKUP($D77,모델정보데이터!$AM$4:$BQ$398,8,0)</f>
        <v>7급</v>
      </c>
      <c r="W77" s="582" t="str">
        <f ca="1">VLOOKUP($D77,모델정보데이터!$AM$4:$BQ$398,9,0)</f>
        <v>02:울산</v>
      </c>
      <c r="X77" s="582" t="str">
        <f ca="1">VLOOKUP($D77,모델정보데이터!$AM$4:$BM$278,27,0)</f>
        <v>유림로지텍</v>
      </c>
      <c r="Y77" s="582" t="str">
        <f ca="1">VLOOKUP($D77,모델정보데이터!$AM$4:$BQ$398,11,0)</f>
        <v>D</v>
      </c>
      <c r="Z77" s="582" t="str">
        <f ca="1">VLOOKUP($D77,모델정보데이터!$AM$4:$BQ$398,18,0)</f>
        <v>KB손보</v>
      </c>
      <c r="AA77" s="582" t="str">
        <f ca="1">VLOOKUP($D77,모델정보데이터!$AM$4:$BQ$398,12,0)</f>
        <v>전략</v>
      </c>
      <c r="AB77" s="583">
        <f ca="1">VLOOKUP($D77,모델정보데이터!$AM$4:$BQ$398,13,0)</f>
        <v>0.02</v>
      </c>
      <c r="AC77" s="582">
        <f ca="1">VLOOKUP($D77,모델정보데이터!$AM$4:$BQ$398,17,0)</f>
        <v>0</v>
      </c>
      <c r="AD77" s="582">
        <f ca="1">VLOOKUP($D77,모델정보데이터!$AM$4:$BQ$398,10,0)</f>
        <v>0</v>
      </c>
      <c r="AE77" s="582">
        <f ca="1">IFERROR(VLOOKUP(D77,모델정보데이터!$AM$3:$BD$278,27,0),0)</f>
        <v>0</v>
      </c>
      <c r="AF77" s="1134">
        <f ca="1">VLOOKUP($D77,모델정보데이터!$AM$4:$BQ$398,14,0)</f>
        <v>0</v>
      </c>
      <c r="AG77" s="260">
        <f ca="1">VLOOKUP($D77,모델정보데이터!AM:BQ,30,0)</f>
        <v>6.8000000000000005E-2</v>
      </c>
      <c r="AH77" s="260">
        <f ca="1">VLOOKUP($D77,모델정보데이터!AM:BQ,31,0)</f>
        <v>6.1000000000000006E-2</v>
      </c>
      <c r="AI77" s="260" t="str">
        <f ca="1">VLOOKUP($D77,모델정보데이터!AM:BQ,19,0)</f>
        <v>현대</v>
      </c>
      <c r="AJ77" s="69">
        <f ca="1">VLOOKUP($D77,모델정보데이터!AM:BQ,21,0)</f>
        <v>77000</v>
      </c>
      <c r="AK77" s="69">
        <f ca="1">VLOOKUP($D77,모델정보데이터!AM:BQ,22,0)</f>
        <v>301000</v>
      </c>
      <c r="AL77" s="69">
        <f ca="1">VLOOKUP($D77,모델정보데이터!AM:BQ,20,0)</f>
        <v>4.1000000000000002E-2</v>
      </c>
      <c r="AM77" s="69">
        <f ca="1">VLOOKUP($D77,모델정보데이터!AM:BQ,23,0)</f>
        <v>0</v>
      </c>
    </row>
    <row r="78" spans="2:39">
      <c r="B78" s="275"/>
      <c r="C78" s="1894" t="str">
        <f t="shared" ca="1" si="1"/>
        <v xml:space="preserve">코나 가솔린 1.6 하이브리드 </v>
      </c>
      <c r="D78" s="269" t="str">
        <f ca="1">IF(OFFSET($D$2,76,$B$2)=0,"",OFFSET($D$2,76,$B$2))</f>
        <v xml:space="preserve">코나 가솔린 1.6 하이브리드 </v>
      </c>
      <c r="E78" s="1385">
        <v>76</v>
      </c>
      <c r="F78" s="41" t="s">
        <v>1429</v>
      </c>
      <c r="G78" s="69"/>
      <c r="I78" s="69"/>
      <c r="J78" s="69"/>
      <c r="K78" s="69"/>
      <c r="O78" s="259">
        <f ca="1">VLOOKUP($D78,모델정보데이터!$AM$4:$BQ$398,3,0)</f>
        <v>1580</v>
      </c>
      <c r="P78" s="582" t="str">
        <f ca="1">VLOOKUP($D78,모델정보데이터!$AM$4:$BQ$398,4,0)</f>
        <v>T</v>
      </c>
      <c r="Q78" s="582">
        <f ca="1">VLOOKUP($D78,모델정보데이터!$AM$4:$BQ$398,5,0)</f>
        <v>5</v>
      </c>
      <c r="R78" s="582" t="str">
        <f ca="1">VLOOKUP($D78,모델정보데이터!$AM$4:$BQ$398,6,0)</f>
        <v>RV</v>
      </c>
      <c r="S78" s="582" t="str">
        <f ca="1">VLOOKUP($D78,모델정보데이터!$AM$4:$BQ$398,7,0)</f>
        <v>승용</v>
      </c>
      <c r="T78" s="582" t="str">
        <f ca="1">VLOOKUP($D78,모델정보데이터!$AM$4:$BQ$398,15,0)</f>
        <v>E</v>
      </c>
      <c r="U78" s="582" t="str">
        <f ca="1">VLOOKUP($D78,모델정보데이터!$AM$4:$BQ$398,16,0)</f>
        <v>A2</v>
      </c>
      <c r="V78" s="582" t="str">
        <f ca="1">VLOOKUP($D78,모델정보데이터!$AM$4:$BQ$398,8,0)</f>
        <v>7급</v>
      </c>
      <c r="W78" s="582" t="str">
        <f ca="1">VLOOKUP($D78,모델정보데이터!$AM$4:$BQ$398,9,0)</f>
        <v>02:울산</v>
      </c>
      <c r="X78" s="582" t="str">
        <f ca="1">VLOOKUP($D78,모델정보데이터!$AM$4:$BM$278,27,0)</f>
        <v>유림로지텍</v>
      </c>
      <c r="Y78" s="582" t="str">
        <f ca="1">VLOOKUP($D78,모델정보데이터!$AM$4:$BQ$398,11,0)</f>
        <v>D</v>
      </c>
      <c r="Z78" s="582" t="str">
        <f ca="1">VLOOKUP($D78,모델정보데이터!$AM$4:$BQ$398,18,0)</f>
        <v>KB손보</v>
      </c>
      <c r="AA78" s="582" t="str">
        <f ca="1">VLOOKUP($D78,모델정보데이터!$AM$4:$BQ$398,12,0)</f>
        <v>전략</v>
      </c>
      <c r="AB78" s="583">
        <f ca="1">VLOOKUP($D78,모델정보데이터!$AM$4:$BQ$398,13,0)</f>
        <v>0.02</v>
      </c>
      <c r="AC78" s="582">
        <f ca="1">VLOOKUP($D78,모델정보데이터!$AM$4:$BQ$398,17,0)</f>
        <v>0</v>
      </c>
      <c r="AD78" s="582">
        <f ca="1">VLOOKUP($D78,모델정보데이터!$AM$4:$BQ$398,10,0)</f>
        <v>0</v>
      </c>
      <c r="AE78" s="582">
        <f ca="1">IFERROR(VLOOKUP(D78,모델정보데이터!$AM$3:$BD$278,27,0),0)</f>
        <v>0</v>
      </c>
      <c r="AF78" s="1134">
        <f ca="1">VLOOKUP($D78,모델정보데이터!$AM$4:$BQ$398,14,0)</f>
        <v>0</v>
      </c>
      <c r="AG78" s="260">
        <f ca="1">VLOOKUP($D78,모델정보데이터!AM:BQ,30,0)</f>
        <v>6.8000000000000005E-2</v>
      </c>
      <c r="AH78" s="260">
        <f ca="1">VLOOKUP($D78,모델정보데이터!AM:BQ,31,0)</f>
        <v>6.1000000000000006E-2</v>
      </c>
      <c r="AI78" s="260" t="str">
        <f ca="1">VLOOKUP($D78,모델정보데이터!AM:BQ,19,0)</f>
        <v>현대</v>
      </c>
      <c r="AJ78" s="69">
        <f ca="1">VLOOKUP($D78,모델정보데이터!AM:BQ,21,0)</f>
        <v>77000</v>
      </c>
      <c r="AK78" s="69">
        <f ca="1">VLOOKUP($D78,모델정보데이터!AM:BQ,22,0)</f>
        <v>301000</v>
      </c>
      <c r="AL78" s="69">
        <f ca="1">VLOOKUP($D78,모델정보데이터!AM:BQ,20,0)</f>
        <v>4.1000000000000002E-2</v>
      </c>
      <c r="AM78" s="69">
        <f ca="1">VLOOKUP($D78,모델정보데이터!AM:BQ,23,0)</f>
        <v>0</v>
      </c>
    </row>
    <row r="79" spans="2:39">
      <c r="B79" s="275"/>
      <c r="C79" s="1894" t="str">
        <f t="shared" ca="1" si="1"/>
        <v xml:space="preserve">코나 가솔린 2.0 </v>
      </c>
      <c r="D79" s="269" t="str">
        <f ca="1">IF(OFFSET($D$2,77,$B$2)=0,"",OFFSET($D$2,77,$B$2))</f>
        <v xml:space="preserve">코나 가솔린 2.0 </v>
      </c>
      <c r="E79" s="1385">
        <v>77</v>
      </c>
      <c r="F79" s="41" t="s">
        <v>1070</v>
      </c>
      <c r="G79" s="69"/>
      <c r="I79" s="69"/>
      <c r="J79" s="69"/>
      <c r="K79" s="69"/>
      <c r="O79" s="259">
        <f ca="1">VLOOKUP($D79,모델정보데이터!$AM$4:$BQ$398,3,0)</f>
        <v>1999</v>
      </c>
      <c r="P79" s="582" t="str">
        <f ca="1">VLOOKUP($D79,모델정보데이터!$AM$4:$BQ$398,4,0)</f>
        <v>M</v>
      </c>
      <c r="Q79" s="582">
        <f ca="1">VLOOKUP($D79,모델정보데이터!$AM$4:$BQ$398,5,0)</f>
        <v>5</v>
      </c>
      <c r="R79" s="582" t="str">
        <f ca="1">VLOOKUP($D79,모델정보데이터!$AM$4:$BQ$398,6,0)</f>
        <v>RV</v>
      </c>
      <c r="S79" s="582" t="str">
        <f ca="1">VLOOKUP($D79,모델정보데이터!$AM$4:$BQ$398,7,0)</f>
        <v>승용</v>
      </c>
      <c r="T79" s="582" t="str">
        <f ca="1">VLOOKUP($D79,모델정보데이터!$AM$4:$BQ$398,15,0)</f>
        <v>E</v>
      </c>
      <c r="U79" s="582" t="str">
        <f ca="1">VLOOKUP($D79,모델정보데이터!$AM$4:$BQ$398,16,0)</f>
        <v>A2</v>
      </c>
      <c r="V79" s="582" t="str">
        <f ca="1">VLOOKUP($D79,모델정보데이터!$AM$4:$BQ$398,8,0)</f>
        <v>7급</v>
      </c>
      <c r="W79" s="582" t="str">
        <f ca="1">VLOOKUP($D79,모델정보데이터!$AM$4:$BQ$398,9,0)</f>
        <v>02:울산</v>
      </c>
      <c r="X79" s="582" t="str">
        <f ca="1">VLOOKUP($D79,모델정보데이터!$AM$4:$BM$278,27,0)</f>
        <v>유림로지텍</v>
      </c>
      <c r="Y79" s="582" t="str">
        <f ca="1">VLOOKUP($D79,모델정보데이터!$AM$4:$BQ$398,11,0)</f>
        <v>D</v>
      </c>
      <c r="Z79" s="582" t="str">
        <f ca="1">VLOOKUP($D79,모델정보데이터!$AM$4:$BQ$398,18,0)</f>
        <v>KB손보</v>
      </c>
      <c r="AA79" s="582" t="str">
        <f ca="1">VLOOKUP($D79,모델정보데이터!$AM$4:$BQ$398,12,0)</f>
        <v>전략</v>
      </c>
      <c r="AB79" s="583">
        <f ca="1">VLOOKUP($D79,모델정보데이터!$AM$4:$BQ$398,13,0)</f>
        <v>0.02</v>
      </c>
      <c r="AC79" s="582">
        <f ca="1">VLOOKUP($D79,모델정보데이터!$AM$4:$BQ$398,17,0)</f>
        <v>0</v>
      </c>
      <c r="AD79" s="582">
        <f ca="1">VLOOKUP($D79,모델정보데이터!$AM$4:$BQ$398,10,0)</f>
        <v>0</v>
      </c>
      <c r="AE79" s="582">
        <f ca="1">IFERROR(VLOOKUP(D79,모델정보데이터!$AM$3:$BD$278,27,0),0)</f>
        <v>0</v>
      </c>
      <c r="AF79" s="1134">
        <f ca="1">VLOOKUP($D79,모델정보데이터!$AM$4:$BQ$398,14,0)</f>
        <v>0</v>
      </c>
      <c r="AG79" s="260">
        <f ca="1">VLOOKUP($D79,모델정보데이터!AM:BQ,30,0)</f>
        <v>6.8000000000000005E-2</v>
      </c>
      <c r="AH79" s="260">
        <f ca="1">VLOOKUP($D79,모델정보데이터!AM:BQ,31,0)</f>
        <v>6.1000000000000006E-2</v>
      </c>
      <c r="AI79" s="260" t="str">
        <f ca="1">VLOOKUP($D79,모델정보데이터!AM:BQ,19,0)</f>
        <v>현대</v>
      </c>
      <c r="AJ79" s="69">
        <f ca="1">VLOOKUP($D79,모델정보데이터!AM:BQ,21,0)</f>
        <v>77000</v>
      </c>
      <c r="AK79" s="69">
        <f ca="1">VLOOKUP($D79,모델정보데이터!AM:BQ,22,0)</f>
        <v>301000</v>
      </c>
      <c r="AL79" s="69">
        <f ca="1">VLOOKUP($D79,모델정보데이터!AM:BQ,20,0)</f>
        <v>4.1000000000000002E-2</v>
      </c>
      <c r="AM79" s="69">
        <f ca="1">VLOOKUP($D79,모델정보데이터!AM:BQ,23,0)</f>
        <v>0</v>
      </c>
    </row>
    <row r="80" spans="2:39">
      <c r="B80" s="275"/>
      <c r="C80" s="1894" t="str">
        <f t="shared" ca="1" si="1"/>
        <v>——————————◆캐스퍼◆—————————————</v>
      </c>
      <c r="D80" s="269" t="str">
        <f ca="1">IF(OFFSET($D$2,78,$B$2)=0,"",OFFSET($D$2,78,$B$2))</f>
        <v>——————————◆캐스퍼◆—————————————</v>
      </c>
      <c r="E80" s="1385">
        <v>78</v>
      </c>
      <c r="F80" s="481" t="s">
        <v>977</v>
      </c>
      <c r="G80" s="69"/>
      <c r="I80" s="69"/>
      <c r="J80" s="69"/>
      <c r="K80" s="69"/>
      <c r="O80" s="259" t="e">
        <f ca="1">VLOOKUP($D80,모델정보데이터!$AM$4:$BQ$398,3,0)</f>
        <v>#N/A</v>
      </c>
      <c r="P80" s="582" t="e">
        <f ca="1">VLOOKUP($D80,모델정보데이터!$AM$4:$BQ$398,4,0)</f>
        <v>#N/A</v>
      </c>
      <c r="Q80" s="582" t="e">
        <f ca="1">VLOOKUP($D80,모델정보데이터!$AM$4:$BQ$398,5,0)</f>
        <v>#N/A</v>
      </c>
      <c r="R80" s="582" t="e">
        <f ca="1">VLOOKUP($D80,모델정보데이터!$AM$4:$BQ$398,6,0)</f>
        <v>#N/A</v>
      </c>
      <c r="S80" s="582" t="e">
        <f ca="1">VLOOKUP($D80,모델정보데이터!$AM$4:$BQ$398,7,0)</f>
        <v>#N/A</v>
      </c>
      <c r="T80" s="582" t="e">
        <f ca="1">VLOOKUP($D80,모델정보데이터!$AM$4:$BQ$398,15,0)</f>
        <v>#N/A</v>
      </c>
      <c r="U80" s="582" t="e">
        <f ca="1">VLOOKUP($D80,모델정보데이터!$AM$4:$BQ$398,16,0)</f>
        <v>#N/A</v>
      </c>
      <c r="V80" s="582" t="e">
        <f ca="1">VLOOKUP($D80,모델정보데이터!$AM$4:$BQ$398,8,0)</f>
        <v>#N/A</v>
      </c>
      <c r="W80" s="582" t="e">
        <f ca="1">VLOOKUP($D80,모델정보데이터!$AM$4:$BQ$398,9,0)</f>
        <v>#N/A</v>
      </c>
      <c r="X80" s="582" t="e">
        <f ca="1">VLOOKUP($D80,모델정보데이터!$AM$4:$BM$278,27,0)</f>
        <v>#N/A</v>
      </c>
      <c r="Y80" s="582" t="e">
        <f ca="1">VLOOKUP($D80,모델정보데이터!$AM$4:$BQ$398,11,0)</f>
        <v>#N/A</v>
      </c>
      <c r="Z80" s="582" t="e">
        <f ca="1">VLOOKUP($D80,모델정보데이터!$AM$4:$BQ$398,18,0)</f>
        <v>#N/A</v>
      </c>
      <c r="AA80" s="582" t="e">
        <f ca="1">VLOOKUP($D80,모델정보데이터!$AM$4:$BQ$398,12,0)</f>
        <v>#N/A</v>
      </c>
      <c r="AB80" s="583" t="e">
        <f ca="1">VLOOKUP($D80,모델정보데이터!$AM$4:$BQ$398,13,0)</f>
        <v>#N/A</v>
      </c>
      <c r="AC80" s="582" t="e">
        <f ca="1">VLOOKUP($D80,모델정보데이터!$AM$4:$BQ$398,17,0)</f>
        <v>#N/A</v>
      </c>
      <c r="AD80" s="582" t="e">
        <f ca="1">VLOOKUP($D80,모델정보데이터!$AM$4:$BQ$398,10,0)</f>
        <v>#N/A</v>
      </c>
      <c r="AE80" s="582">
        <f ca="1">IFERROR(VLOOKUP(D80,모델정보데이터!$AM$3:$BD$278,27,0),0)</f>
        <v>0</v>
      </c>
      <c r="AF80" s="1134" t="e">
        <f ca="1">VLOOKUP($D80,모델정보데이터!$AM$4:$BQ$398,14,0)</f>
        <v>#N/A</v>
      </c>
      <c r="AG80" s="260" t="e">
        <f ca="1">VLOOKUP($D80,모델정보데이터!AM:BQ,30,0)</f>
        <v>#N/A</v>
      </c>
      <c r="AH80" s="260" t="e">
        <f ca="1">VLOOKUP($D80,모델정보데이터!AM:BQ,31,0)</f>
        <v>#N/A</v>
      </c>
      <c r="AI80" s="260" t="e">
        <f ca="1">VLOOKUP($D80,모델정보데이터!AM:BQ,19,0)</f>
        <v>#N/A</v>
      </c>
      <c r="AJ80" s="69" t="e">
        <f ca="1">VLOOKUP($D80,모델정보데이터!AM:BQ,21,0)</f>
        <v>#N/A</v>
      </c>
      <c r="AK80" s="69" t="e">
        <f ca="1">VLOOKUP($D80,모델정보데이터!AM:BQ,22,0)</f>
        <v>#N/A</v>
      </c>
      <c r="AL80" s="69" t="e">
        <f ca="1">VLOOKUP($D80,모델정보데이터!AM:BQ,20,0)</f>
        <v>#N/A</v>
      </c>
      <c r="AM80" s="69" t="e">
        <f ca="1">VLOOKUP($D80,모델정보데이터!AM:BQ,23,0)</f>
        <v>#N/A</v>
      </c>
    </row>
    <row r="81" spans="2:39">
      <c r="B81" s="275"/>
      <c r="C81" s="1894" t="str">
        <f t="shared" ca="1" si="1"/>
        <v xml:space="preserve">캐스퍼 가솔린 1.0 (아산출고) </v>
      </c>
      <c r="D81" s="269" t="str">
        <f ca="1">IF(OFFSET($D$2,79,$B$2)=0,"",OFFSET($D$2,79,$B$2))</f>
        <v xml:space="preserve">캐스퍼 가솔린 1.0 (아산출고) </v>
      </c>
      <c r="E81" s="1385">
        <v>79</v>
      </c>
      <c r="F81" s="41" t="s">
        <v>1071</v>
      </c>
      <c r="G81" s="69"/>
      <c r="I81" s="69"/>
      <c r="J81" s="69"/>
      <c r="K81" s="69"/>
      <c r="O81" s="259">
        <f ca="1">VLOOKUP($D81,모델정보데이터!$AM$4:$BQ$398,3,0)</f>
        <v>998</v>
      </c>
      <c r="P81" s="582" t="str">
        <f ca="1">VLOOKUP($D81,모델정보데이터!$AM$4:$BQ$398,4,0)</f>
        <v>M</v>
      </c>
      <c r="Q81" s="582">
        <f ca="1">VLOOKUP($D81,모델정보데이터!$AM$4:$BQ$398,5,0)</f>
        <v>4</v>
      </c>
      <c r="R81" s="582" t="str">
        <f ca="1">VLOOKUP($D81,모델정보데이터!$AM$4:$BQ$398,6,0)</f>
        <v>승용</v>
      </c>
      <c r="S81" s="582" t="str">
        <f ca="1">VLOOKUP($D81,모델정보데이터!$AM$4:$BQ$398,7,0)</f>
        <v>승용</v>
      </c>
      <c r="T81" s="582" t="str">
        <f ca="1">VLOOKUP($D81,모델정보데이터!$AM$4:$BQ$398,15,0)</f>
        <v>K</v>
      </c>
      <c r="U81" s="582" t="str">
        <f ca="1">VLOOKUP($D81,모델정보데이터!$AM$4:$BQ$398,16,0)</f>
        <v>E</v>
      </c>
      <c r="V81" s="582" t="str">
        <f ca="1">VLOOKUP($D81,모델정보데이터!$AM$4:$BQ$398,8,0)</f>
        <v>1급</v>
      </c>
      <c r="W81" s="582" t="str">
        <f ca="1">VLOOKUP($D81,모델정보데이터!$AM$4:$BQ$398,9,0)</f>
        <v>07:광주</v>
      </c>
      <c r="X81" s="582" t="str">
        <f ca="1">VLOOKUP($D81,모델정보데이터!$AM$4:$BM$278,27,0)</f>
        <v>유림로지텍</v>
      </c>
      <c r="Y81" s="582" t="str">
        <f ca="1">VLOOKUP($D81,모델정보데이터!$AM$4:$BQ$398,11,0)</f>
        <v>D</v>
      </c>
      <c r="Z81" s="582" t="str">
        <f ca="1">VLOOKUP($D81,모델정보데이터!$AM$4:$BQ$398,18,0)</f>
        <v>KB손보</v>
      </c>
      <c r="AA81" s="582" t="str">
        <f ca="1">VLOOKUP($D81,모델정보데이터!$AM$4:$BQ$398,12,0)</f>
        <v>일반</v>
      </c>
      <c r="AB81" s="583">
        <f ca="1">VLOOKUP($D81,모델정보데이터!$AM$4:$BQ$398,13,0)</f>
        <v>2.5000000000000001E-2</v>
      </c>
      <c r="AC81" s="582">
        <f ca="1">VLOOKUP($D81,모델정보데이터!$AM$4:$BQ$398,17,0)</f>
        <v>0</v>
      </c>
      <c r="AD81" s="582">
        <f ca="1">VLOOKUP($D81,모델정보데이터!$AM$4:$BQ$398,10,0)</f>
        <v>0</v>
      </c>
      <c r="AE81" s="582">
        <f ca="1">IFERROR(VLOOKUP(D81,모델정보데이터!$AM$3:$BD$278,27,0),0)</f>
        <v>0</v>
      </c>
      <c r="AF81" s="1134">
        <f ca="1">VLOOKUP($D81,모델정보데이터!$AM$4:$BQ$398,14,0)</f>
        <v>0</v>
      </c>
      <c r="AG81" s="260">
        <f ca="1">VLOOKUP($D81,모델정보데이터!AM:BQ,30,0)</f>
        <v>9.2999999999999999E-2</v>
      </c>
      <c r="AH81" s="260">
        <f ca="1">VLOOKUP($D81,모델정보데이터!AM:BQ,31,0)</f>
        <v>8.5999999999999993E-2</v>
      </c>
      <c r="AI81" s="260" t="str">
        <f ca="1">VLOOKUP($D81,모델정보데이터!AM:BQ,19,0)</f>
        <v>현대</v>
      </c>
      <c r="AJ81" s="69">
        <f ca="1">VLOOKUP($D81,모델정보데이터!AM:BQ,21,0)</f>
        <v>116000</v>
      </c>
      <c r="AK81" s="69">
        <f ca="1">VLOOKUP($D81,모델정보데이터!AM:BQ,22,0)</f>
        <v>116000</v>
      </c>
      <c r="AL81" s="69">
        <f ca="1">VLOOKUP($D81,모델정보데이터!AM:BQ,20,0)</f>
        <v>4.1000000000000002E-2</v>
      </c>
      <c r="AM81" s="69">
        <f ca="1">VLOOKUP($D81,모델정보데이터!AM:BQ,23,0)</f>
        <v>0</v>
      </c>
    </row>
    <row r="82" spans="2:39" ht="13.5" thickBot="1">
      <c r="B82" s="275"/>
      <c r="C82" s="1894" t="str">
        <f t="shared" ca="1" si="1"/>
        <v xml:space="preserve">캐스퍼 가솔린 1.0 (밴) (아산출고) </v>
      </c>
      <c r="D82" s="269" t="str">
        <f ca="1">IF(OFFSET($D$2,80,$B$2)=0,"",OFFSET($D$2,80,$B$2))</f>
        <v xml:space="preserve">캐스퍼 가솔린 1.0 (밴) (아산출고) </v>
      </c>
      <c r="E82" s="1385">
        <v>80</v>
      </c>
      <c r="F82" s="274" t="s">
        <v>1373</v>
      </c>
      <c r="G82" s="69"/>
      <c r="I82" s="69"/>
      <c r="J82" s="69"/>
      <c r="K82" s="69"/>
      <c r="O82" s="259">
        <f ca="1">VLOOKUP($D82,모델정보데이터!$AM$4:$BQ$398,3,0)</f>
        <v>998</v>
      </c>
      <c r="P82" s="582" t="str">
        <f ca="1">VLOOKUP($D82,모델정보데이터!$AM$4:$BQ$398,4,0)</f>
        <v>M</v>
      </c>
      <c r="Q82" s="582">
        <f ca="1">VLOOKUP($D82,모델정보데이터!$AM$4:$BQ$398,5,0)</f>
        <v>2</v>
      </c>
      <c r="R82" s="582" t="str">
        <f ca="1">VLOOKUP($D82,모델정보데이터!$AM$4:$BQ$398,6,0)</f>
        <v>승용</v>
      </c>
      <c r="S82" s="582" t="str">
        <f ca="1">VLOOKUP($D82,모델정보데이터!$AM$4:$BQ$398,7,0)</f>
        <v>승용</v>
      </c>
      <c r="T82" s="582" t="str">
        <f ca="1">VLOOKUP($D82,모델정보데이터!$AM$4:$BQ$398,15,0)</f>
        <v>M</v>
      </c>
      <c r="U82" s="582" t="str">
        <f ca="1">VLOOKUP($D82,모델정보데이터!$AM$4:$BQ$398,16,0)</f>
        <v>G</v>
      </c>
      <c r="V82" s="582" t="str">
        <f ca="1">VLOOKUP($D82,모델정보데이터!$AM$4:$BQ$398,8,0)</f>
        <v>1급</v>
      </c>
      <c r="W82" s="582" t="str">
        <f ca="1">VLOOKUP($D82,모델정보데이터!$AM$4:$BQ$398,9,0)</f>
        <v>07:광주</v>
      </c>
      <c r="X82" s="582" t="str">
        <f ca="1">VLOOKUP($D82,모델정보데이터!$AM$4:$BM$278,27,0)</f>
        <v>유림로지텍</v>
      </c>
      <c r="Y82" s="582" t="str">
        <f ca="1">VLOOKUP($D82,모델정보데이터!$AM$4:$BQ$398,11,0)</f>
        <v>D</v>
      </c>
      <c r="Z82" s="582" t="str">
        <f ca="1">VLOOKUP($D82,모델정보데이터!$AM$4:$BQ$398,18,0)</f>
        <v>KB손보</v>
      </c>
      <c r="AA82" s="582" t="str">
        <f ca="1">VLOOKUP($D82,모델정보데이터!$AM$4:$BQ$398,12,0)</f>
        <v>일반</v>
      </c>
      <c r="AB82" s="583">
        <f ca="1">VLOOKUP($D82,모델정보데이터!$AM$4:$BQ$398,13,0)</f>
        <v>2.5000000000000001E-2</v>
      </c>
      <c r="AC82" s="582">
        <f ca="1">VLOOKUP($D82,모델정보데이터!$AM$4:$BQ$398,17,0)</f>
        <v>0</v>
      </c>
      <c r="AD82" s="582">
        <f ca="1">VLOOKUP($D82,모델정보데이터!$AM$4:$BQ$398,10,0)</f>
        <v>0</v>
      </c>
      <c r="AE82" s="582">
        <f ca="1">IFERROR(VLOOKUP(D82,모델정보데이터!$AM$3:$BD$278,27,0),0)</f>
        <v>0</v>
      </c>
      <c r="AF82" s="1134">
        <f ca="1">VLOOKUP($D82,모델정보데이터!$AM$4:$BQ$398,14,0)</f>
        <v>0</v>
      </c>
      <c r="AG82" s="260">
        <f ca="1">VLOOKUP($D82,모델정보데이터!AM:BQ,30,0)</f>
        <v>9.2999999999999999E-2</v>
      </c>
      <c r="AH82" s="260">
        <f ca="1">VLOOKUP($D82,모델정보데이터!AM:BQ,31,0)</f>
        <v>8.5999999999999993E-2</v>
      </c>
      <c r="AI82" s="260" t="str">
        <f ca="1">VLOOKUP($D82,모델정보데이터!AM:BQ,19,0)</f>
        <v>현대</v>
      </c>
      <c r="AJ82" s="69">
        <f ca="1">VLOOKUP($D82,모델정보데이터!AM:BQ,21,0)</f>
        <v>116000</v>
      </c>
      <c r="AK82" s="69">
        <f ca="1">VLOOKUP($D82,모델정보데이터!AM:BQ,22,0)</f>
        <v>116000</v>
      </c>
      <c r="AL82" s="69">
        <f ca="1">VLOOKUP($D82,모델정보데이터!AM:BQ,20,0)</f>
        <v>4.1000000000000002E-2</v>
      </c>
      <c r="AM82" s="69">
        <f ca="1">VLOOKUP($D82,모델정보데이터!AM:BQ,23,0)</f>
        <v>0</v>
      </c>
    </row>
    <row r="83" spans="2:39">
      <c r="B83" s="275"/>
      <c r="C83" s="1894" t="str">
        <f t="shared" ca="1" si="1"/>
        <v/>
      </c>
      <c r="D83" s="269" t="str">
        <f ca="1">IF(OFFSET($D$2,81,$B$2)=0,"",OFFSET($D$2,81,$B$2))</f>
        <v/>
      </c>
      <c r="E83" s="1385">
        <v>81</v>
      </c>
      <c r="G83" s="69"/>
      <c r="I83" s="69"/>
      <c r="J83" s="69"/>
      <c r="K83" s="69"/>
      <c r="O83" s="259" t="e">
        <f ca="1">VLOOKUP($D83,모델정보데이터!$AM$4:$BQ$398,3,0)</f>
        <v>#N/A</v>
      </c>
      <c r="P83" s="582" t="e">
        <f ca="1">VLOOKUP($D83,모델정보데이터!$AM$4:$BQ$398,4,0)</f>
        <v>#N/A</v>
      </c>
      <c r="Q83" s="582" t="e">
        <f ca="1">VLOOKUP($D83,모델정보데이터!$AM$4:$BQ$398,5,0)</f>
        <v>#N/A</v>
      </c>
      <c r="R83" s="582" t="e">
        <f ca="1">VLOOKUP($D83,모델정보데이터!$AM$4:$BQ$398,6,0)</f>
        <v>#N/A</v>
      </c>
      <c r="S83" s="582" t="e">
        <f ca="1">VLOOKUP($D83,모델정보데이터!$AM$4:$BQ$398,7,0)</f>
        <v>#N/A</v>
      </c>
      <c r="T83" s="582" t="e">
        <f ca="1">VLOOKUP($D83,모델정보데이터!$AM$4:$BQ$398,15,0)</f>
        <v>#N/A</v>
      </c>
      <c r="U83" s="582" t="e">
        <f ca="1">VLOOKUP($D83,모델정보데이터!$AM$4:$BQ$398,16,0)</f>
        <v>#N/A</v>
      </c>
      <c r="V83" s="582" t="e">
        <f ca="1">VLOOKUP($D83,모델정보데이터!$AM$4:$BQ$398,8,0)</f>
        <v>#N/A</v>
      </c>
      <c r="W83" s="582" t="e">
        <f ca="1">VLOOKUP($D83,모델정보데이터!$AM$4:$BQ$398,9,0)</f>
        <v>#N/A</v>
      </c>
      <c r="X83" s="582" t="e">
        <f ca="1">VLOOKUP($D83,모델정보데이터!$AM$4:$BM$278,27,0)</f>
        <v>#N/A</v>
      </c>
      <c r="Y83" s="582" t="e">
        <f ca="1">VLOOKUP($D83,모델정보데이터!$AM$4:$BQ$398,11,0)</f>
        <v>#N/A</v>
      </c>
      <c r="Z83" s="582" t="e">
        <f ca="1">VLOOKUP($D83,모델정보데이터!$AM$4:$BQ$398,18,0)</f>
        <v>#N/A</v>
      </c>
      <c r="AA83" s="582" t="e">
        <f ca="1">VLOOKUP($D83,모델정보데이터!$AM$4:$BQ$398,12,0)</f>
        <v>#N/A</v>
      </c>
      <c r="AB83" s="583" t="e">
        <f ca="1">VLOOKUP($D83,모델정보데이터!$AM$4:$BQ$398,13,0)</f>
        <v>#N/A</v>
      </c>
      <c r="AC83" s="582" t="e">
        <f ca="1">VLOOKUP($D83,모델정보데이터!$AM$4:$BQ$398,17,0)</f>
        <v>#N/A</v>
      </c>
      <c r="AD83" s="582" t="e">
        <f ca="1">VLOOKUP($D83,모델정보데이터!$AM$4:$BQ$398,10,0)</f>
        <v>#N/A</v>
      </c>
      <c r="AE83" s="582">
        <f ca="1">IFERROR(VLOOKUP(D83,모델정보데이터!$AM$3:$BD$278,27,0),0)</f>
        <v>0</v>
      </c>
      <c r="AF83" s="1134" t="e">
        <f ca="1">VLOOKUP($D83,모델정보데이터!$AM$4:$BQ$398,14,0)</f>
        <v>#N/A</v>
      </c>
      <c r="AG83" s="260" t="e">
        <f ca="1">VLOOKUP($D83,모델정보데이터!AM:BQ,30,0)</f>
        <v>#N/A</v>
      </c>
      <c r="AH83" s="260" t="e">
        <f ca="1">VLOOKUP($D83,모델정보데이터!AM:BQ,31,0)</f>
        <v>#N/A</v>
      </c>
      <c r="AI83" s="260" t="e">
        <f ca="1">VLOOKUP($D83,모델정보데이터!AM:BQ,19,0)</f>
        <v>#N/A</v>
      </c>
      <c r="AJ83" s="69" t="e">
        <f ca="1">VLOOKUP($D83,모델정보데이터!AM:BQ,21,0)</f>
        <v>#N/A</v>
      </c>
      <c r="AK83" s="69" t="e">
        <f ca="1">VLOOKUP($D83,모델정보데이터!AM:BQ,22,0)</f>
        <v>#N/A</v>
      </c>
      <c r="AL83" s="69" t="e">
        <f ca="1">VLOOKUP($D83,모델정보데이터!AM:BQ,20,0)</f>
        <v>#N/A</v>
      </c>
      <c r="AM83" s="69" t="e">
        <f ca="1">VLOOKUP($D83,모델정보데이터!AM:BQ,23,0)</f>
        <v>#N/A</v>
      </c>
    </row>
    <row r="84" spans="2:39">
      <c r="B84" s="275"/>
      <c r="C84" s="1894" t="str">
        <f t="shared" ca="1" si="1"/>
        <v/>
      </c>
      <c r="D84" s="269" t="str">
        <f ca="1">IF(OFFSET($D$2,82,$B$2)=0,"",OFFSET($D$2,82,$B$2))</f>
        <v/>
      </c>
      <c r="E84" s="1385">
        <v>82</v>
      </c>
      <c r="G84" s="69"/>
      <c r="I84" s="69"/>
      <c r="J84" s="69"/>
      <c r="K84" s="69"/>
      <c r="O84" s="259" t="e">
        <f ca="1">VLOOKUP($D84,모델정보데이터!$AM$4:$BQ$398,3,0)</f>
        <v>#N/A</v>
      </c>
      <c r="P84" s="582" t="e">
        <f ca="1">VLOOKUP($D84,모델정보데이터!$AM$4:$BQ$398,4,0)</f>
        <v>#N/A</v>
      </c>
      <c r="Q84" s="582" t="e">
        <f ca="1">VLOOKUP($D84,모델정보데이터!$AM$4:$BQ$398,5,0)</f>
        <v>#N/A</v>
      </c>
      <c r="R84" s="582" t="e">
        <f ca="1">VLOOKUP($D84,모델정보데이터!$AM$4:$BQ$398,6,0)</f>
        <v>#N/A</v>
      </c>
      <c r="S84" s="582" t="e">
        <f ca="1">VLOOKUP($D84,모델정보데이터!$AM$4:$BQ$398,7,0)</f>
        <v>#N/A</v>
      </c>
      <c r="T84" s="582" t="e">
        <f ca="1">VLOOKUP($D84,모델정보데이터!$AM$4:$BQ$398,15,0)</f>
        <v>#N/A</v>
      </c>
      <c r="U84" s="582" t="e">
        <f ca="1">VLOOKUP($D84,모델정보데이터!$AM$4:$BQ$398,16,0)</f>
        <v>#N/A</v>
      </c>
      <c r="V84" s="582" t="e">
        <f ca="1">VLOOKUP($D84,모델정보데이터!$AM$4:$BQ$398,8,0)</f>
        <v>#N/A</v>
      </c>
      <c r="W84" s="582" t="e">
        <f ca="1">VLOOKUP($D84,모델정보데이터!$AM$4:$BQ$398,9,0)</f>
        <v>#N/A</v>
      </c>
      <c r="X84" s="582" t="e">
        <f ca="1">VLOOKUP($D84,모델정보데이터!$AM$4:$BM$278,27,0)</f>
        <v>#N/A</v>
      </c>
      <c r="Y84" s="582" t="e">
        <f ca="1">VLOOKUP($D84,모델정보데이터!$AM$4:$BQ$398,11,0)</f>
        <v>#N/A</v>
      </c>
      <c r="Z84" s="582" t="e">
        <f ca="1">VLOOKUP($D84,모델정보데이터!$AM$4:$BQ$398,18,0)</f>
        <v>#N/A</v>
      </c>
      <c r="AA84" s="582" t="e">
        <f ca="1">VLOOKUP($D84,모델정보데이터!$AM$4:$BQ$398,12,0)</f>
        <v>#N/A</v>
      </c>
      <c r="AB84" s="583" t="e">
        <f ca="1">VLOOKUP($D84,모델정보데이터!$AM$4:$BQ$398,13,0)</f>
        <v>#N/A</v>
      </c>
      <c r="AC84" s="582" t="e">
        <f ca="1">VLOOKUP($D84,모델정보데이터!$AM$4:$BQ$398,17,0)</f>
        <v>#N/A</v>
      </c>
      <c r="AD84" s="582" t="e">
        <f ca="1">VLOOKUP($D84,모델정보데이터!$AM$4:$BQ$398,10,0)</f>
        <v>#N/A</v>
      </c>
      <c r="AE84" s="582">
        <f ca="1">IFERROR(VLOOKUP(D84,모델정보데이터!$AM$3:$BD$278,27,0),0)</f>
        <v>0</v>
      </c>
      <c r="AF84" s="1134" t="e">
        <f ca="1">VLOOKUP($D84,모델정보데이터!$AM$4:$BQ$398,14,0)</f>
        <v>#N/A</v>
      </c>
      <c r="AG84" s="260" t="e">
        <f ca="1">VLOOKUP($D84,모델정보데이터!AM:BQ,30,0)</f>
        <v>#N/A</v>
      </c>
      <c r="AH84" s="260" t="e">
        <f ca="1">VLOOKUP($D84,모델정보데이터!AM:BQ,31,0)</f>
        <v>#N/A</v>
      </c>
      <c r="AI84" s="260" t="e">
        <f ca="1">VLOOKUP($D84,모델정보데이터!AM:BQ,19,0)</f>
        <v>#N/A</v>
      </c>
      <c r="AJ84" s="69" t="e">
        <f ca="1">VLOOKUP($D84,모델정보데이터!AM:BQ,21,0)</f>
        <v>#N/A</v>
      </c>
      <c r="AK84" s="69" t="e">
        <f ca="1">VLOOKUP($D84,모델정보데이터!AM:BQ,22,0)</f>
        <v>#N/A</v>
      </c>
      <c r="AL84" s="69" t="e">
        <f ca="1">VLOOKUP($D84,모델정보데이터!AM:BQ,20,0)</f>
        <v>#N/A</v>
      </c>
      <c r="AM84" s="69" t="e">
        <f ca="1">VLOOKUP($D84,모델정보데이터!AM:BQ,23,0)</f>
        <v>#N/A</v>
      </c>
    </row>
    <row r="85" spans="2:39">
      <c r="B85" s="275"/>
      <c r="C85" s="1894" t="str">
        <f t="shared" ca="1" si="1"/>
        <v/>
      </c>
      <c r="D85" s="269" t="str">
        <f ca="1">IF(OFFSET($D$2,83,$B$2)=0,"",OFFSET($D$2,83,$B$2))</f>
        <v/>
      </c>
      <c r="E85" s="1385">
        <v>83</v>
      </c>
      <c r="G85" s="69"/>
      <c r="I85" s="69"/>
      <c r="J85" s="69"/>
      <c r="K85" s="69"/>
      <c r="O85" s="259" t="e">
        <f ca="1">VLOOKUP($D85,모델정보데이터!$AM$4:$BQ$398,3,0)</f>
        <v>#N/A</v>
      </c>
      <c r="P85" s="582" t="e">
        <f ca="1">VLOOKUP($D85,모델정보데이터!$AM$4:$BQ$398,4,0)</f>
        <v>#N/A</v>
      </c>
      <c r="Q85" s="582" t="e">
        <f ca="1">VLOOKUP($D85,모델정보데이터!$AM$4:$BQ$398,5,0)</f>
        <v>#N/A</v>
      </c>
      <c r="R85" s="582" t="e">
        <f ca="1">VLOOKUP($D85,모델정보데이터!$AM$4:$BQ$398,6,0)</f>
        <v>#N/A</v>
      </c>
      <c r="S85" s="582" t="e">
        <f ca="1">VLOOKUP($D85,모델정보데이터!$AM$4:$BQ$398,7,0)</f>
        <v>#N/A</v>
      </c>
      <c r="T85" s="582" t="e">
        <f ca="1">VLOOKUP($D85,모델정보데이터!$AM$4:$BQ$398,15,0)</f>
        <v>#N/A</v>
      </c>
      <c r="U85" s="582" t="e">
        <f ca="1">VLOOKUP($D85,모델정보데이터!$AM$4:$BQ$398,16,0)</f>
        <v>#N/A</v>
      </c>
      <c r="V85" s="582" t="e">
        <f ca="1">VLOOKUP($D85,모델정보데이터!$AM$4:$BQ$398,8,0)</f>
        <v>#N/A</v>
      </c>
      <c r="W85" s="582" t="e">
        <f ca="1">VLOOKUP($D85,모델정보데이터!$AM$4:$BQ$398,9,0)</f>
        <v>#N/A</v>
      </c>
      <c r="X85" s="582" t="e">
        <f ca="1">VLOOKUP($D85,모델정보데이터!$AM$4:$BM$278,27,0)</f>
        <v>#N/A</v>
      </c>
      <c r="Y85" s="582" t="e">
        <f ca="1">VLOOKUP($D85,모델정보데이터!$AM$4:$BQ$398,11,0)</f>
        <v>#N/A</v>
      </c>
      <c r="Z85" s="582" t="e">
        <f ca="1">VLOOKUP($D85,모델정보데이터!$AM$4:$BQ$398,18,0)</f>
        <v>#N/A</v>
      </c>
      <c r="AA85" s="582" t="e">
        <f ca="1">VLOOKUP($D85,모델정보데이터!$AM$4:$BQ$398,12,0)</f>
        <v>#N/A</v>
      </c>
      <c r="AB85" s="583" t="e">
        <f ca="1">VLOOKUP($D85,모델정보데이터!$AM$4:$BQ$398,13,0)</f>
        <v>#N/A</v>
      </c>
      <c r="AC85" s="582" t="e">
        <f ca="1">VLOOKUP($D85,모델정보데이터!$AM$4:$BQ$398,17,0)</f>
        <v>#N/A</v>
      </c>
      <c r="AD85" s="582" t="e">
        <f ca="1">VLOOKUP($D85,모델정보데이터!$AM$4:$BQ$398,10,0)</f>
        <v>#N/A</v>
      </c>
      <c r="AE85" s="582">
        <f ca="1">IFERROR(VLOOKUP(D85,모델정보데이터!$AM$3:$BD$278,27,0),0)</f>
        <v>0</v>
      </c>
      <c r="AF85" s="1134" t="e">
        <f ca="1">VLOOKUP($D85,모델정보데이터!$AM$4:$BQ$398,14,0)</f>
        <v>#N/A</v>
      </c>
      <c r="AG85" s="260" t="e">
        <f ca="1">VLOOKUP($D85,모델정보데이터!AM:BQ,30,0)</f>
        <v>#N/A</v>
      </c>
      <c r="AH85" s="260" t="e">
        <f ca="1">VLOOKUP($D85,모델정보데이터!AM:BQ,31,0)</f>
        <v>#N/A</v>
      </c>
      <c r="AI85" s="260" t="e">
        <f ca="1">VLOOKUP($D85,모델정보데이터!AM:BQ,19,0)</f>
        <v>#N/A</v>
      </c>
      <c r="AJ85" s="69" t="e">
        <f ca="1">VLOOKUP($D85,모델정보데이터!AM:BQ,21,0)</f>
        <v>#N/A</v>
      </c>
      <c r="AK85" s="69" t="e">
        <f ca="1">VLOOKUP($D85,모델정보데이터!AM:BQ,22,0)</f>
        <v>#N/A</v>
      </c>
      <c r="AL85" s="69" t="e">
        <f ca="1">VLOOKUP($D85,모델정보데이터!AM:BQ,20,0)</f>
        <v>#N/A</v>
      </c>
      <c r="AM85" s="69" t="e">
        <f ca="1">VLOOKUP($D85,모델정보데이터!AM:BQ,23,0)</f>
        <v>#N/A</v>
      </c>
    </row>
    <row r="86" spans="2:39">
      <c r="B86" s="275"/>
      <c r="C86" s="1894" t="str">
        <f t="shared" ca="1" si="1"/>
        <v/>
      </c>
      <c r="D86" s="269" t="str">
        <f ca="1">IF(OFFSET($D$2,84,$B$2)=0,"",OFFSET($D$2,84,$B$2))</f>
        <v/>
      </c>
      <c r="E86" s="1385">
        <v>84</v>
      </c>
      <c r="G86" s="69"/>
      <c r="I86" s="69"/>
      <c r="J86" s="69"/>
      <c r="K86" s="69"/>
      <c r="O86" s="259" t="e">
        <f ca="1">VLOOKUP($D86,모델정보데이터!$AM$4:$BQ$398,3,0)</f>
        <v>#N/A</v>
      </c>
      <c r="P86" s="582" t="e">
        <f ca="1">VLOOKUP($D86,모델정보데이터!$AM$4:$BQ$398,4,0)</f>
        <v>#N/A</v>
      </c>
      <c r="Q86" s="582" t="e">
        <f ca="1">VLOOKUP($D86,모델정보데이터!$AM$4:$BQ$398,5,0)</f>
        <v>#N/A</v>
      </c>
      <c r="R86" s="582" t="e">
        <f ca="1">VLOOKUP($D86,모델정보데이터!$AM$4:$BQ$398,6,0)</f>
        <v>#N/A</v>
      </c>
      <c r="S86" s="582" t="e">
        <f ca="1">VLOOKUP($D86,모델정보데이터!$AM$4:$BQ$398,7,0)</f>
        <v>#N/A</v>
      </c>
      <c r="T86" s="582" t="e">
        <f ca="1">VLOOKUP($D86,모델정보데이터!$AM$4:$BQ$398,15,0)</f>
        <v>#N/A</v>
      </c>
      <c r="U86" s="582" t="e">
        <f ca="1">VLOOKUP($D86,모델정보데이터!$AM$4:$BQ$398,16,0)</f>
        <v>#N/A</v>
      </c>
      <c r="V86" s="582" t="e">
        <f ca="1">VLOOKUP($D86,모델정보데이터!$AM$4:$BQ$398,8,0)</f>
        <v>#N/A</v>
      </c>
      <c r="W86" s="582" t="e">
        <f ca="1">VLOOKUP($D86,모델정보데이터!$AM$4:$BQ$398,9,0)</f>
        <v>#N/A</v>
      </c>
      <c r="X86" s="582" t="e">
        <f ca="1">VLOOKUP($D86,모델정보데이터!$AM$4:$BM$278,27,0)</f>
        <v>#N/A</v>
      </c>
      <c r="Y86" s="582" t="e">
        <f ca="1">VLOOKUP($D86,모델정보데이터!$AM$4:$BQ$398,11,0)</f>
        <v>#N/A</v>
      </c>
      <c r="Z86" s="582" t="e">
        <f ca="1">VLOOKUP($D86,모델정보데이터!$AM$4:$BQ$398,18,0)</f>
        <v>#N/A</v>
      </c>
      <c r="AA86" s="582" t="e">
        <f ca="1">VLOOKUP($D86,모델정보데이터!$AM$4:$BQ$398,12,0)</f>
        <v>#N/A</v>
      </c>
      <c r="AB86" s="583" t="e">
        <f ca="1">VLOOKUP($D86,모델정보데이터!$AM$4:$BQ$398,13,0)</f>
        <v>#N/A</v>
      </c>
      <c r="AC86" s="582" t="e">
        <f ca="1">VLOOKUP($D86,모델정보데이터!$AM$4:$BQ$398,17,0)</f>
        <v>#N/A</v>
      </c>
      <c r="AD86" s="582" t="e">
        <f ca="1">VLOOKUP($D86,모델정보데이터!$AM$4:$BQ$398,10,0)</f>
        <v>#N/A</v>
      </c>
      <c r="AE86" s="582">
        <f ca="1">IFERROR(VLOOKUP(D86,모델정보데이터!$AM$3:$BD$278,27,0),0)</f>
        <v>0</v>
      </c>
      <c r="AF86" s="1134" t="e">
        <f ca="1">VLOOKUP($D86,모델정보데이터!$AM$4:$BQ$398,14,0)</f>
        <v>#N/A</v>
      </c>
      <c r="AG86" s="260" t="e">
        <f ca="1">VLOOKUP($D86,모델정보데이터!AM:BQ,30,0)</f>
        <v>#N/A</v>
      </c>
      <c r="AH86" s="260" t="e">
        <f ca="1">VLOOKUP($D86,모델정보데이터!AM:BQ,31,0)</f>
        <v>#N/A</v>
      </c>
      <c r="AI86" s="260" t="e">
        <f ca="1">VLOOKUP($D86,모델정보데이터!AM:BQ,19,0)</f>
        <v>#N/A</v>
      </c>
      <c r="AJ86" s="69" t="e">
        <f ca="1">VLOOKUP($D86,모델정보데이터!AM:BQ,21,0)</f>
        <v>#N/A</v>
      </c>
      <c r="AK86" s="69" t="e">
        <f ca="1">VLOOKUP($D86,모델정보데이터!AM:BQ,22,0)</f>
        <v>#N/A</v>
      </c>
      <c r="AL86" s="69" t="e">
        <f ca="1">VLOOKUP($D86,모델정보데이터!AM:BQ,20,0)</f>
        <v>#N/A</v>
      </c>
      <c r="AM86" s="69" t="e">
        <f ca="1">VLOOKUP($D86,모델정보데이터!AM:BQ,23,0)</f>
        <v>#N/A</v>
      </c>
    </row>
    <row r="87" spans="2:39">
      <c r="B87" s="275"/>
      <c r="C87" s="1894" t="str">
        <f t="shared" ca="1" si="1"/>
        <v/>
      </c>
      <c r="D87" s="269" t="str">
        <f ca="1">IF(OFFSET($D$2,85,$B$2)=0,"",OFFSET($D$2,85,$B$2))</f>
        <v/>
      </c>
      <c r="E87" s="1385">
        <v>85</v>
      </c>
      <c r="G87" s="69"/>
      <c r="I87" s="69"/>
      <c r="J87" s="69"/>
      <c r="K87" s="69"/>
      <c r="O87" s="259" t="e">
        <f ca="1">VLOOKUP($D87,모델정보데이터!$AM$4:$BQ$398,3,0)</f>
        <v>#N/A</v>
      </c>
      <c r="P87" s="582" t="e">
        <f ca="1">VLOOKUP($D87,모델정보데이터!$AM$4:$BQ$398,4,0)</f>
        <v>#N/A</v>
      </c>
      <c r="Q87" s="582" t="e">
        <f ca="1">VLOOKUP($D87,모델정보데이터!$AM$4:$BQ$398,5,0)</f>
        <v>#N/A</v>
      </c>
      <c r="R87" s="582" t="e">
        <f ca="1">VLOOKUP($D87,모델정보데이터!$AM$4:$BQ$398,6,0)</f>
        <v>#N/A</v>
      </c>
      <c r="S87" s="582" t="e">
        <f ca="1">VLOOKUP($D87,모델정보데이터!$AM$4:$BQ$398,7,0)</f>
        <v>#N/A</v>
      </c>
      <c r="T87" s="582" t="e">
        <f ca="1">VLOOKUP($D87,모델정보데이터!$AM$4:$BQ$398,15,0)</f>
        <v>#N/A</v>
      </c>
      <c r="U87" s="582" t="e">
        <f ca="1">VLOOKUP($D87,모델정보데이터!$AM$4:$BQ$398,16,0)</f>
        <v>#N/A</v>
      </c>
      <c r="V87" s="582" t="e">
        <f ca="1">VLOOKUP($D87,모델정보데이터!$AM$4:$BQ$398,8,0)</f>
        <v>#N/A</v>
      </c>
      <c r="W87" s="582" t="e">
        <f ca="1">VLOOKUP($D87,모델정보데이터!$AM$4:$BQ$398,9,0)</f>
        <v>#N/A</v>
      </c>
      <c r="X87" s="582" t="e">
        <f ca="1">VLOOKUP($D87,모델정보데이터!$AM$4:$BM$278,27,0)</f>
        <v>#N/A</v>
      </c>
      <c r="Y87" s="582" t="e">
        <f ca="1">VLOOKUP($D87,모델정보데이터!$AM$4:$BQ$398,11,0)</f>
        <v>#N/A</v>
      </c>
      <c r="Z87" s="582" t="e">
        <f ca="1">VLOOKUP($D87,모델정보데이터!$AM$4:$BQ$398,18,0)</f>
        <v>#N/A</v>
      </c>
      <c r="AA87" s="582" t="e">
        <f ca="1">VLOOKUP($D87,모델정보데이터!$AM$4:$BQ$398,12,0)</f>
        <v>#N/A</v>
      </c>
      <c r="AB87" s="583" t="e">
        <f ca="1">VLOOKUP($D87,모델정보데이터!$AM$4:$BQ$398,13,0)</f>
        <v>#N/A</v>
      </c>
      <c r="AC87" s="582" t="e">
        <f ca="1">VLOOKUP($D87,모델정보데이터!$AM$4:$BQ$398,17,0)</f>
        <v>#N/A</v>
      </c>
      <c r="AD87" s="582" t="e">
        <f ca="1">VLOOKUP($D87,모델정보데이터!$AM$4:$BQ$398,10,0)</f>
        <v>#N/A</v>
      </c>
      <c r="AE87" s="582">
        <f ca="1">IFERROR(VLOOKUP(D87,모델정보데이터!$AM$3:$BD$278,27,0),0)</f>
        <v>0</v>
      </c>
      <c r="AF87" s="1134" t="e">
        <f ca="1">VLOOKUP($D87,모델정보데이터!$AM$4:$BQ$398,14,0)</f>
        <v>#N/A</v>
      </c>
      <c r="AG87" s="260" t="e">
        <f ca="1">VLOOKUP($D87,모델정보데이터!AM:BQ,30,0)</f>
        <v>#N/A</v>
      </c>
      <c r="AH87" s="260" t="e">
        <f ca="1">VLOOKUP($D87,모델정보데이터!AM:BQ,31,0)</f>
        <v>#N/A</v>
      </c>
      <c r="AI87" s="260" t="e">
        <f ca="1">VLOOKUP($D87,모델정보데이터!AM:BQ,19,0)</f>
        <v>#N/A</v>
      </c>
      <c r="AJ87" s="69" t="e">
        <f ca="1">VLOOKUP($D87,모델정보데이터!AM:BQ,21,0)</f>
        <v>#N/A</v>
      </c>
      <c r="AK87" s="69" t="e">
        <f ca="1">VLOOKUP($D87,모델정보데이터!AM:BQ,22,0)</f>
        <v>#N/A</v>
      </c>
      <c r="AL87" s="69" t="e">
        <f ca="1">VLOOKUP($D87,모델정보데이터!AM:BQ,20,0)</f>
        <v>#N/A</v>
      </c>
      <c r="AM87" s="69" t="e">
        <f ca="1">VLOOKUP($D87,모델정보데이터!AM:BQ,23,0)</f>
        <v>#N/A</v>
      </c>
    </row>
    <row r="88" spans="2:39">
      <c r="B88" s="275"/>
      <c r="C88" s="1894" t="str">
        <f t="shared" ca="1" si="1"/>
        <v/>
      </c>
      <c r="D88" s="269" t="str">
        <f ca="1">IF(OFFSET($D$2,86,$B$2)=0,"",OFFSET($D$2,86,$B$2))</f>
        <v/>
      </c>
      <c r="E88" s="1385">
        <v>86</v>
      </c>
      <c r="G88" s="69"/>
      <c r="I88" s="69"/>
      <c r="J88" s="69"/>
      <c r="K88" s="69"/>
      <c r="O88" s="259" t="e">
        <f ca="1">VLOOKUP($D88,모델정보데이터!$AM$4:$BQ$398,3,0)</f>
        <v>#N/A</v>
      </c>
      <c r="P88" s="582" t="e">
        <f ca="1">VLOOKUP($D88,모델정보데이터!$AM$4:$BQ$398,4,0)</f>
        <v>#N/A</v>
      </c>
      <c r="Q88" s="582" t="e">
        <f ca="1">VLOOKUP($D88,모델정보데이터!$AM$4:$BQ$398,5,0)</f>
        <v>#N/A</v>
      </c>
      <c r="R88" s="582" t="e">
        <f ca="1">VLOOKUP($D88,모델정보데이터!$AM$4:$BQ$398,6,0)</f>
        <v>#N/A</v>
      </c>
      <c r="S88" s="582" t="e">
        <f ca="1">VLOOKUP($D88,모델정보데이터!$AM$4:$BQ$398,7,0)</f>
        <v>#N/A</v>
      </c>
      <c r="T88" s="582" t="e">
        <f ca="1">VLOOKUP($D88,모델정보데이터!$AM$4:$BQ$398,15,0)</f>
        <v>#N/A</v>
      </c>
      <c r="U88" s="582" t="e">
        <f ca="1">VLOOKUP($D88,모델정보데이터!$AM$4:$BQ$398,16,0)</f>
        <v>#N/A</v>
      </c>
      <c r="V88" s="582" t="e">
        <f ca="1">VLOOKUP($D88,모델정보데이터!$AM$4:$BQ$398,8,0)</f>
        <v>#N/A</v>
      </c>
      <c r="W88" s="582" t="e">
        <f ca="1">VLOOKUP($D88,모델정보데이터!$AM$4:$BQ$398,9,0)</f>
        <v>#N/A</v>
      </c>
      <c r="X88" s="582" t="e">
        <f ca="1">VLOOKUP($D88,모델정보데이터!$AM$4:$BM$278,27,0)</f>
        <v>#N/A</v>
      </c>
      <c r="Y88" s="582" t="e">
        <f ca="1">VLOOKUP($D88,모델정보데이터!$AM$4:$BQ$398,11,0)</f>
        <v>#N/A</v>
      </c>
      <c r="Z88" s="582" t="e">
        <f ca="1">VLOOKUP($D88,모델정보데이터!$AM$4:$BQ$398,18,0)</f>
        <v>#N/A</v>
      </c>
      <c r="AA88" s="582" t="e">
        <f ca="1">VLOOKUP($D88,모델정보데이터!$AM$4:$BQ$398,12,0)</f>
        <v>#N/A</v>
      </c>
      <c r="AB88" s="583" t="e">
        <f ca="1">VLOOKUP($D88,모델정보데이터!$AM$4:$BQ$398,13,0)</f>
        <v>#N/A</v>
      </c>
      <c r="AC88" s="582" t="e">
        <f ca="1">VLOOKUP($D88,모델정보데이터!$AM$4:$BQ$398,17,0)</f>
        <v>#N/A</v>
      </c>
      <c r="AD88" s="582" t="e">
        <f ca="1">VLOOKUP($D88,모델정보데이터!$AM$4:$BQ$398,10,0)</f>
        <v>#N/A</v>
      </c>
      <c r="AE88" s="582">
        <f ca="1">IFERROR(VLOOKUP(D88,모델정보데이터!$AM$3:$BD$278,27,0),0)</f>
        <v>0</v>
      </c>
      <c r="AF88" s="1134" t="e">
        <f ca="1">VLOOKUP($D88,모델정보데이터!$AM$4:$BQ$398,14,0)</f>
        <v>#N/A</v>
      </c>
      <c r="AG88" s="260" t="e">
        <f ca="1">VLOOKUP($D88,모델정보데이터!AM:BQ,30,0)</f>
        <v>#N/A</v>
      </c>
      <c r="AH88" s="260" t="e">
        <f ca="1">VLOOKUP($D88,모델정보데이터!AM:BQ,31,0)</f>
        <v>#N/A</v>
      </c>
      <c r="AI88" s="260" t="e">
        <f ca="1">VLOOKUP($D88,모델정보데이터!AM:BQ,19,0)</f>
        <v>#N/A</v>
      </c>
      <c r="AJ88" s="69" t="e">
        <f ca="1">VLOOKUP($D88,모델정보데이터!AM:BQ,21,0)</f>
        <v>#N/A</v>
      </c>
      <c r="AK88" s="69" t="e">
        <f ca="1">VLOOKUP($D88,모델정보데이터!AM:BQ,22,0)</f>
        <v>#N/A</v>
      </c>
      <c r="AL88" s="69" t="e">
        <f ca="1">VLOOKUP($D88,모델정보데이터!AM:BQ,20,0)</f>
        <v>#N/A</v>
      </c>
      <c r="AM88" s="69" t="e">
        <f ca="1">VLOOKUP($D88,모델정보데이터!AM:BQ,23,0)</f>
        <v>#N/A</v>
      </c>
    </row>
    <row r="89" spans="2:39">
      <c r="B89" s="275"/>
      <c r="C89" s="1894" t="str">
        <f t="shared" ca="1" si="1"/>
        <v/>
      </c>
      <c r="D89" s="269" t="str">
        <f ca="1">IF(OFFSET($D$2,87,$B$2)=0,"",OFFSET($D$2,87,$B$2))</f>
        <v/>
      </c>
      <c r="E89" s="1385">
        <v>87</v>
      </c>
      <c r="G89" s="69"/>
      <c r="I89" s="69"/>
      <c r="J89" s="69"/>
      <c r="K89" s="69"/>
      <c r="O89" s="259" t="e">
        <f ca="1">VLOOKUP($D89,모델정보데이터!$AM$4:$BQ$398,3,0)</f>
        <v>#N/A</v>
      </c>
      <c r="P89" s="582" t="e">
        <f ca="1">VLOOKUP($D89,모델정보데이터!$AM$4:$BQ$398,4,0)</f>
        <v>#N/A</v>
      </c>
      <c r="Q89" s="582" t="e">
        <f ca="1">VLOOKUP($D89,모델정보데이터!$AM$4:$BQ$398,5,0)</f>
        <v>#N/A</v>
      </c>
      <c r="R89" s="582" t="e">
        <f ca="1">VLOOKUP($D89,모델정보데이터!$AM$4:$BQ$398,6,0)</f>
        <v>#N/A</v>
      </c>
      <c r="S89" s="582" t="e">
        <f ca="1">VLOOKUP($D89,모델정보데이터!$AM$4:$BQ$398,7,0)</f>
        <v>#N/A</v>
      </c>
      <c r="T89" s="582" t="e">
        <f ca="1">VLOOKUP($D89,모델정보데이터!$AM$4:$BQ$398,15,0)</f>
        <v>#N/A</v>
      </c>
      <c r="U89" s="582" t="e">
        <f ca="1">VLOOKUP($D89,모델정보데이터!$AM$4:$BQ$398,16,0)</f>
        <v>#N/A</v>
      </c>
      <c r="V89" s="582" t="e">
        <f ca="1">VLOOKUP($D89,모델정보데이터!$AM$4:$BQ$398,8,0)</f>
        <v>#N/A</v>
      </c>
      <c r="W89" s="582" t="e">
        <f ca="1">VLOOKUP($D89,모델정보데이터!$AM$4:$BQ$398,9,0)</f>
        <v>#N/A</v>
      </c>
      <c r="X89" s="582" t="e">
        <f ca="1">VLOOKUP($D89,모델정보데이터!$AM$4:$BM$278,27,0)</f>
        <v>#N/A</v>
      </c>
      <c r="Y89" s="582" t="e">
        <f ca="1">VLOOKUP($D89,모델정보데이터!$AM$4:$BQ$398,11,0)</f>
        <v>#N/A</v>
      </c>
      <c r="Z89" s="582" t="e">
        <f ca="1">VLOOKUP($D89,모델정보데이터!$AM$4:$BQ$398,18,0)</f>
        <v>#N/A</v>
      </c>
      <c r="AA89" s="582" t="e">
        <f ca="1">VLOOKUP($D89,모델정보데이터!$AM$4:$BQ$398,12,0)</f>
        <v>#N/A</v>
      </c>
      <c r="AB89" s="583" t="e">
        <f ca="1">VLOOKUP($D89,모델정보데이터!$AM$4:$BQ$398,13,0)</f>
        <v>#N/A</v>
      </c>
      <c r="AC89" s="582" t="e">
        <f ca="1">VLOOKUP($D89,모델정보데이터!$AM$4:$BQ$398,17,0)</f>
        <v>#N/A</v>
      </c>
      <c r="AD89" s="582" t="e">
        <f ca="1">VLOOKUP($D89,모델정보데이터!$AM$4:$BQ$398,10,0)</f>
        <v>#N/A</v>
      </c>
      <c r="AE89" s="582">
        <f ca="1">IFERROR(VLOOKUP(D89,모델정보데이터!$AM$3:$BD$278,27,0),0)</f>
        <v>0</v>
      </c>
      <c r="AF89" s="1134" t="e">
        <f ca="1">VLOOKUP($D89,모델정보데이터!$AM$4:$BQ$398,14,0)</f>
        <v>#N/A</v>
      </c>
      <c r="AG89" s="260" t="e">
        <f ca="1">VLOOKUP($D89,모델정보데이터!AM:BQ,30,0)</f>
        <v>#N/A</v>
      </c>
      <c r="AH89" s="260" t="e">
        <f ca="1">VLOOKUP($D89,모델정보데이터!AM:BQ,31,0)</f>
        <v>#N/A</v>
      </c>
      <c r="AI89" s="260" t="e">
        <f ca="1">VLOOKUP($D89,모델정보데이터!AM:BQ,19,0)</f>
        <v>#N/A</v>
      </c>
      <c r="AJ89" s="69" t="e">
        <f ca="1">VLOOKUP($D89,모델정보데이터!AM:BQ,21,0)</f>
        <v>#N/A</v>
      </c>
      <c r="AK89" s="69" t="e">
        <f ca="1">VLOOKUP($D89,모델정보데이터!AM:BQ,22,0)</f>
        <v>#N/A</v>
      </c>
      <c r="AL89" s="69" t="e">
        <f ca="1">VLOOKUP($D89,모델정보데이터!AM:BQ,20,0)</f>
        <v>#N/A</v>
      </c>
      <c r="AM89" s="69" t="e">
        <f ca="1">VLOOKUP($D89,모델정보데이터!AM:BQ,23,0)</f>
        <v>#N/A</v>
      </c>
    </row>
    <row r="90" spans="2:39">
      <c r="B90" s="275"/>
      <c r="C90" s="1894" t="str">
        <f t="shared" ca="1" si="1"/>
        <v/>
      </c>
      <c r="D90" s="269" t="str">
        <f ca="1">IF(OFFSET($D$2,88,$B$2)=0,"",OFFSET($D$2,88,$B$2))</f>
        <v/>
      </c>
      <c r="E90" s="1385">
        <v>88</v>
      </c>
      <c r="G90" s="69"/>
      <c r="I90" s="69"/>
      <c r="J90" s="69"/>
      <c r="K90" s="69"/>
      <c r="O90" s="259" t="e">
        <f ca="1">VLOOKUP($D90,모델정보데이터!$AM$4:$BQ$398,3,0)</f>
        <v>#N/A</v>
      </c>
      <c r="P90" s="582" t="e">
        <f ca="1">VLOOKUP($D90,모델정보데이터!$AM$4:$BQ$398,4,0)</f>
        <v>#N/A</v>
      </c>
      <c r="Q90" s="582" t="e">
        <f ca="1">VLOOKUP($D90,모델정보데이터!$AM$4:$BQ$398,5,0)</f>
        <v>#N/A</v>
      </c>
      <c r="R90" s="582" t="e">
        <f ca="1">VLOOKUP($D90,모델정보데이터!$AM$4:$BQ$398,6,0)</f>
        <v>#N/A</v>
      </c>
      <c r="S90" s="582" t="e">
        <f ca="1">VLOOKUP($D90,모델정보데이터!$AM$4:$BQ$398,7,0)</f>
        <v>#N/A</v>
      </c>
      <c r="T90" s="582" t="e">
        <f ca="1">VLOOKUP($D90,모델정보데이터!$AM$4:$BQ$398,15,0)</f>
        <v>#N/A</v>
      </c>
      <c r="U90" s="582" t="e">
        <f ca="1">VLOOKUP($D90,모델정보데이터!$AM$4:$BQ$398,16,0)</f>
        <v>#N/A</v>
      </c>
      <c r="V90" s="582" t="e">
        <f ca="1">VLOOKUP($D90,모델정보데이터!$AM$4:$BQ$398,8,0)</f>
        <v>#N/A</v>
      </c>
      <c r="W90" s="582" t="e">
        <f ca="1">VLOOKUP($D90,모델정보데이터!$AM$4:$BQ$398,9,0)</f>
        <v>#N/A</v>
      </c>
      <c r="X90" s="582" t="e">
        <f ca="1">VLOOKUP($D90,모델정보데이터!$AM$4:$BM$278,27,0)</f>
        <v>#N/A</v>
      </c>
      <c r="Y90" s="582" t="e">
        <f ca="1">VLOOKUP($D90,모델정보데이터!$AM$4:$BQ$398,11,0)</f>
        <v>#N/A</v>
      </c>
      <c r="Z90" s="582" t="e">
        <f ca="1">VLOOKUP($D90,모델정보데이터!$AM$4:$BQ$398,18,0)</f>
        <v>#N/A</v>
      </c>
      <c r="AA90" s="582" t="e">
        <f ca="1">VLOOKUP($D90,모델정보데이터!$AM$4:$BQ$398,12,0)</f>
        <v>#N/A</v>
      </c>
      <c r="AB90" s="583" t="e">
        <f ca="1">VLOOKUP($D90,모델정보데이터!$AM$4:$BQ$398,13,0)</f>
        <v>#N/A</v>
      </c>
      <c r="AC90" s="582" t="e">
        <f ca="1">VLOOKUP($D90,모델정보데이터!$AM$4:$BQ$398,17,0)</f>
        <v>#N/A</v>
      </c>
      <c r="AD90" s="582" t="e">
        <f ca="1">VLOOKUP($D90,모델정보데이터!$AM$4:$BQ$398,10,0)</f>
        <v>#N/A</v>
      </c>
      <c r="AE90" s="582">
        <f ca="1">IFERROR(VLOOKUP(D90,모델정보데이터!$AM$3:$BD$278,27,0),0)</f>
        <v>0</v>
      </c>
      <c r="AF90" s="1134" t="e">
        <f ca="1">VLOOKUP($D90,모델정보데이터!$AM$4:$BQ$398,14,0)</f>
        <v>#N/A</v>
      </c>
      <c r="AG90" s="260" t="e">
        <f ca="1">VLOOKUP($D90,모델정보데이터!AM:BQ,30,0)</f>
        <v>#N/A</v>
      </c>
      <c r="AH90" s="260" t="e">
        <f ca="1">VLOOKUP($D90,모델정보데이터!AM:BQ,31,0)</f>
        <v>#N/A</v>
      </c>
      <c r="AI90" s="260" t="e">
        <f ca="1">VLOOKUP($D90,모델정보데이터!AM:BQ,19,0)</f>
        <v>#N/A</v>
      </c>
      <c r="AJ90" s="69" t="e">
        <f ca="1">VLOOKUP($D90,모델정보데이터!AM:BQ,21,0)</f>
        <v>#N/A</v>
      </c>
      <c r="AK90" s="69" t="e">
        <f ca="1">VLOOKUP($D90,모델정보데이터!AM:BQ,22,0)</f>
        <v>#N/A</v>
      </c>
      <c r="AL90" s="69" t="e">
        <f ca="1">VLOOKUP($D90,모델정보데이터!AM:BQ,20,0)</f>
        <v>#N/A</v>
      </c>
      <c r="AM90" s="69" t="e">
        <f ca="1">VLOOKUP($D90,모델정보데이터!AM:BQ,23,0)</f>
        <v>#N/A</v>
      </c>
    </row>
    <row r="91" spans="2:39">
      <c r="B91" s="275"/>
      <c r="C91" s="1894" t="str">
        <f t="shared" ca="1" si="1"/>
        <v/>
      </c>
      <c r="D91" s="269" t="str">
        <f ca="1">IF(OFFSET($D$2,89,$B$2)=0,"",OFFSET($D$2,89,$B$2))</f>
        <v/>
      </c>
      <c r="E91" s="1385">
        <v>89</v>
      </c>
      <c r="G91" s="69"/>
      <c r="I91" s="69"/>
      <c r="J91" s="69"/>
      <c r="K91" s="69"/>
      <c r="O91" s="259" t="e">
        <f ca="1">VLOOKUP($D91,모델정보데이터!$AM$4:$BQ$398,3,0)</f>
        <v>#N/A</v>
      </c>
      <c r="P91" s="582" t="e">
        <f ca="1">VLOOKUP($D91,모델정보데이터!$AM$4:$BQ$398,4,0)</f>
        <v>#N/A</v>
      </c>
      <c r="Q91" s="582" t="e">
        <f ca="1">VLOOKUP($D91,모델정보데이터!$AM$4:$BQ$398,5,0)</f>
        <v>#N/A</v>
      </c>
      <c r="R91" s="582" t="e">
        <f ca="1">VLOOKUP($D91,모델정보데이터!$AM$4:$BQ$398,6,0)</f>
        <v>#N/A</v>
      </c>
      <c r="S91" s="582" t="e">
        <f ca="1">VLOOKUP($D91,모델정보데이터!$AM$4:$BQ$398,7,0)</f>
        <v>#N/A</v>
      </c>
      <c r="T91" s="582" t="e">
        <f ca="1">VLOOKUP($D91,모델정보데이터!$AM$4:$BQ$398,15,0)</f>
        <v>#N/A</v>
      </c>
      <c r="U91" s="582" t="e">
        <f ca="1">VLOOKUP($D91,모델정보데이터!$AM$4:$BQ$398,16,0)</f>
        <v>#N/A</v>
      </c>
      <c r="V91" s="582" t="e">
        <f ca="1">VLOOKUP($D91,모델정보데이터!$AM$4:$BQ$398,8,0)</f>
        <v>#N/A</v>
      </c>
      <c r="W91" s="582" t="e">
        <f ca="1">VLOOKUP($D91,모델정보데이터!$AM$4:$BQ$398,9,0)</f>
        <v>#N/A</v>
      </c>
      <c r="X91" s="582" t="e">
        <f ca="1">VLOOKUP($D91,모델정보데이터!$AM$4:$BM$278,27,0)</f>
        <v>#N/A</v>
      </c>
      <c r="Y91" s="582" t="e">
        <f ca="1">VLOOKUP($D91,모델정보데이터!$AM$4:$BQ$398,11,0)</f>
        <v>#N/A</v>
      </c>
      <c r="Z91" s="582" t="e">
        <f ca="1">VLOOKUP($D91,모델정보데이터!$AM$4:$BQ$398,18,0)</f>
        <v>#N/A</v>
      </c>
      <c r="AA91" s="582" t="e">
        <f ca="1">VLOOKUP($D91,모델정보데이터!$AM$4:$BQ$398,12,0)</f>
        <v>#N/A</v>
      </c>
      <c r="AB91" s="583" t="e">
        <f ca="1">VLOOKUP($D91,모델정보데이터!$AM$4:$BQ$398,13,0)</f>
        <v>#N/A</v>
      </c>
      <c r="AC91" s="582" t="e">
        <f ca="1">VLOOKUP($D91,모델정보데이터!$AM$4:$BQ$398,17,0)</f>
        <v>#N/A</v>
      </c>
      <c r="AD91" s="582" t="e">
        <f ca="1">VLOOKUP($D91,모델정보데이터!$AM$4:$BQ$398,10,0)</f>
        <v>#N/A</v>
      </c>
      <c r="AE91" s="582">
        <f ca="1">IFERROR(VLOOKUP(D91,모델정보데이터!$AM$3:$BD$278,27,0),0)</f>
        <v>0</v>
      </c>
      <c r="AF91" s="1134" t="e">
        <f ca="1">VLOOKUP($D91,모델정보데이터!$AM$4:$BQ$398,14,0)</f>
        <v>#N/A</v>
      </c>
      <c r="AG91" s="260" t="e">
        <f ca="1">VLOOKUP($D91,모델정보데이터!AM:BQ,30,0)</f>
        <v>#N/A</v>
      </c>
      <c r="AH91" s="260" t="e">
        <f ca="1">VLOOKUP($D91,모델정보데이터!AM:BQ,31,0)</f>
        <v>#N/A</v>
      </c>
      <c r="AI91" s="260" t="e">
        <f ca="1">VLOOKUP($D91,모델정보데이터!AM:BQ,19,0)</f>
        <v>#N/A</v>
      </c>
      <c r="AJ91" s="69" t="e">
        <f ca="1">VLOOKUP($D91,모델정보데이터!AM:BQ,21,0)</f>
        <v>#N/A</v>
      </c>
      <c r="AK91" s="69" t="e">
        <f ca="1">VLOOKUP($D91,모델정보데이터!AM:BQ,22,0)</f>
        <v>#N/A</v>
      </c>
      <c r="AL91" s="69" t="e">
        <f ca="1">VLOOKUP($D91,모델정보데이터!AM:BQ,20,0)</f>
        <v>#N/A</v>
      </c>
      <c r="AM91" s="69" t="e">
        <f ca="1">VLOOKUP($D91,모델정보데이터!AM:BQ,23,0)</f>
        <v>#N/A</v>
      </c>
    </row>
    <row r="92" spans="2:39">
      <c r="B92" s="275"/>
      <c r="C92" s="1894" t="str">
        <f t="shared" ca="1" si="1"/>
        <v/>
      </c>
      <c r="D92" s="269" t="str">
        <f ca="1">IF(OFFSET($D$2,90,$B$2)=0,"",OFFSET($D$2,90,$B$2))</f>
        <v/>
      </c>
      <c r="E92" s="1385">
        <v>90</v>
      </c>
      <c r="G92" s="69"/>
      <c r="I92" s="69"/>
      <c r="J92" s="69"/>
      <c r="K92" s="69"/>
      <c r="O92" s="259" t="e">
        <f ca="1">VLOOKUP($D92,모델정보데이터!$AM$4:$BQ$398,3,0)</f>
        <v>#N/A</v>
      </c>
      <c r="P92" s="582" t="e">
        <f ca="1">VLOOKUP($D92,모델정보데이터!$AM$4:$BQ$398,4,0)</f>
        <v>#N/A</v>
      </c>
      <c r="Q92" s="582" t="e">
        <f ca="1">VLOOKUP($D92,모델정보데이터!$AM$4:$BQ$398,5,0)</f>
        <v>#N/A</v>
      </c>
      <c r="R92" s="582" t="e">
        <f ca="1">VLOOKUP($D92,모델정보데이터!$AM$4:$BQ$398,6,0)</f>
        <v>#N/A</v>
      </c>
      <c r="S92" s="582" t="e">
        <f ca="1">VLOOKUP($D92,모델정보데이터!$AM$4:$BQ$398,7,0)</f>
        <v>#N/A</v>
      </c>
      <c r="T92" s="582" t="e">
        <f ca="1">VLOOKUP($D92,모델정보데이터!$AM$4:$BQ$398,15,0)</f>
        <v>#N/A</v>
      </c>
      <c r="U92" s="582" t="e">
        <f ca="1">VLOOKUP($D92,모델정보데이터!$AM$4:$BQ$398,16,0)</f>
        <v>#N/A</v>
      </c>
      <c r="V92" s="582" t="e">
        <f ca="1">VLOOKUP($D92,모델정보데이터!$AM$4:$BQ$398,8,0)</f>
        <v>#N/A</v>
      </c>
      <c r="W92" s="582" t="e">
        <f ca="1">VLOOKUP($D92,모델정보데이터!$AM$4:$BQ$398,9,0)</f>
        <v>#N/A</v>
      </c>
      <c r="X92" s="582" t="e">
        <f ca="1">VLOOKUP($D92,모델정보데이터!$AM$4:$BM$278,27,0)</f>
        <v>#N/A</v>
      </c>
      <c r="Y92" s="582" t="e">
        <f ca="1">VLOOKUP($D92,모델정보데이터!$AM$4:$BQ$398,11,0)</f>
        <v>#N/A</v>
      </c>
      <c r="Z92" s="582" t="e">
        <f ca="1">VLOOKUP($D92,모델정보데이터!$AM$4:$BQ$398,18,0)</f>
        <v>#N/A</v>
      </c>
      <c r="AA92" s="582" t="e">
        <f ca="1">VLOOKUP($D92,모델정보데이터!$AM$4:$BQ$398,12,0)</f>
        <v>#N/A</v>
      </c>
      <c r="AB92" s="583" t="e">
        <f ca="1">VLOOKUP($D92,모델정보데이터!$AM$4:$BQ$398,13,0)</f>
        <v>#N/A</v>
      </c>
      <c r="AC92" s="582" t="e">
        <f ca="1">VLOOKUP($D92,모델정보데이터!$AM$4:$BQ$398,17,0)</f>
        <v>#N/A</v>
      </c>
      <c r="AD92" s="582" t="e">
        <f ca="1">VLOOKUP($D92,모델정보데이터!$AM$4:$BQ$398,10,0)</f>
        <v>#N/A</v>
      </c>
      <c r="AE92" s="582">
        <f ca="1">IFERROR(VLOOKUP(D92,모델정보데이터!$AM$3:$BD$278,27,0),0)</f>
        <v>0</v>
      </c>
      <c r="AF92" s="1134" t="e">
        <f ca="1">VLOOKUP($D92,모델정보데이터!$AM$4:$BQ$398,14,0)</f>
        <v>#N/A</v>
      </c>
      <c r="AG92" s="260" t="e">
        <f ca="1">VLOOKUP($D92,모델정보데이터!AM:BQ,30,0)</f>
        <v>#N/A</v>
      </c>
      <c r="AH92" s="260" t="e">
        <f ca="1">VLOOKUP($D92,모델정보데이터!AM:BQ,31,0)</f>
        <v>#N/A</v>
      </c>
      <c r="AI92" s="260" t="e">
        <f ca="1">VLOOKUP($D92,모델정보데이터!AM:BQ,19,0)</f>
        <v>#N/A</v>
      </c>
      <c r="AJ92" s="69" t="e">
        <f ca="1">VLOOKUP($D92,모델정보데이터!AM:BQ,21,0)</f>
        <v>#N/A</v>
      </c>
      <c r="AK92" s="69" t="e">
        <f ca="1">VLOOKUP($D92,모델정보데이터!AM:BQ,22,0)</f>
        <v>#N/A</v>
      </c>
      <c r="AL92" s="69" t="e">
        <f ca="1">VLOOKUP($D92,모델정보데이터!AM:BQ,20,0)</f>
        <v>#N/A</v>
      </c>
      <c r="AM92" s="69" t="e">
        <f ca="1">VLOOKUP($D92,모델정보데이터!AM:BQ,23,0)</f>
        <v>#N/A</v>
      </c>
    </row>
    <row r="93" spans="2:39">
      <c r="B93" s="275"/>
      <c r="C93" s="1894" t="str">
        <f t="shared" ca="1" si="1"/>
        <v/>
      </c>
      <c r="D93" s="269" t="str">
        <f ca="1">IF(OFFSET($D$2,91,$B$2)=0,"",OFFSET($D$2,91,$B$2))</f>
        <v/>
      </c>
      <c r="E93" s="1385">
        <v>91</v>
      </c>
      <c r="G93" s="69"/>
      <c r="I93" s="69"/>
      <c r="J93" s="69"/>
      <c r="K93" s="69"/>
      <c r="O93" s="259" t="e">
        <f ca="1">VLOOKUP($D93,모델정보데이터!$AM$4:$BQ$398,3,0)</f>
        <v>#N/A</v>
      </c>
      <c r="P93" s="582" t="e">
        <f ca="1">VLOOKUP($D93,모델정보데이터!$AM$4:$BQ$398,4,0)</f>
        <v>#N/A</v>
      </c>
      <c r="Q93" s="582" t="e">
        <f ca="1">VLOOKUP($D93,모델정보데이터!$AM$4:$BQ$398,5,0)</f>
        <v>#N/A</v>
      </c>
      <c r="R93" s="582" t="e">
        <f ca="1">VLOOKUP($D93,모델정보데이터!$AM$4:$BQ$398,6,0)</f>
        <v>#N/A</v>
      </c>
      <c r="S93" s="582" t="e">
        <f ca="1">VLOOKUP($D93,모델정보데이터!$AM$4:$BQ$398,7,0)</f>
        <v>#N/A</v>
      </c>
      <c r="T93" s="582" t="e">
        <f ca="1">VLOOKUP($D93,모델정보데이터!$AM$4:$BQ$398,15,0)</f>
        <v>#N/A</v>
      </c>
      <c r="U93" s="582" t="e">
        <f ca="1">VLOOKUP($D93,모델정보데이터!$AM$4:$BQ$398,16,0)</f>
        <v>#N/A</v>
      </c>
      <c r="V93" s="582" t="e">
        <f ca="1">VLOOKUP($D93,모델정보데이터!$AM$4:$BQ$398,8,0)</f>
        <v>#N/A</v>
      </c>
      <c r="W93" s="582" t="e">
        <f ca="1">VLOOKUP($D93,모델정보데이터!$AM$4:$BQ$398,9,0)</f>
        <v>#N/A</v>
      </c>
      <c r="X93" s="582" t="e">
        <f ca="1">VLOOKUP($D93,모델정보데이터!$AM$4:$BM$278,27,0)</f>
        <v>#N/A</v>
      </c>
      <c r="Y93" s="582" t="e">
        <f ca="1">VLOOKUP($D93,모델정보데이터!$AM$4:$BQ$398,11,0)</f>
        <v>#N/A</v>
      </c>
      <c r="Z93" s="582" t="e">
        <f ca="1">VLOOKUP($D93,모델정보데이터!$AM$4:$BQ$398,18,0)</f>
        <v>#N/A</v>
      </c>
      <c r="AA93" s="582" t="e">
        <f ca="1">VLOOKUP($D93,모델정보데이터!$AM$4:$BQ$398,12,0)</f>
        <v>#N/A</v>
      </c>
      <c r="AB93" s="583" t="e">
        <f ca="1">VLOOKUP($D93,모델정보데이터!$AM$4:$BQ$398,13,0)</f>
        <v>#N/A</v>
      </c>
      <c r="AC93" s="582" t="e">
        <f ca="1">VLOOKUP($D93,모델정보데이터!$AM$4:$BQ$398,17,0)</f>
        <v>#N/A</v>
      </c>
      <c r="AD93" s="582" t="e">
        <f ca="1">VLOOKUP($D93,모델정보데이터!$AM$4:$BQ$398,10,0)</f>
        <v>#N/A</v>
      </c>
      <c r="AE93" s="582">
        <f ca="1">IFERROR(VLOOKUP(D93,모델정보데이터!$AM$3:$BD$278,27,0),0)</f>
        <v>0</v>
      </c>
      <c r="AF93" s="1134" t="e">
        <f ca="1">VLOOKUP($D93,모델정보데이터!$AM$4:$BQ$398,14,0)</f>
        <v>#N/A</v>
      </c>
      <c r="AG93" s="260" t="e">
        <f ca="1">VLOOKUP($D93,모델정보데이터!AM:BQ,30,0)</f>
        <v>#N/A</v>
      </c>
      <c r="AH93" s="260" t="e">
        <f ca="1">VLOOKUP($D93,모델정보데이터!AM:BQ,31,0)</f>
        <v>#N/A</v>
      </c>
      <c r="AI93" s="260" t="e">
        <f ca="1">VLOOKUP($D93,모델정보데이터!AM:BQ,19,0)</f>
        <v>#N/A</v>
      </c>
      <c r="AJ93" s="69" t="e">
        <f ca="1">VLOOKUP($D93,모델정보데이터!AM:BQ,21,0)</f>
        <v>#N/A</v>
      </c>
      <c r="AK93" s="69" t="e">
        <f ca="1">VLOOKUP($D93,모델정보데이터!AM:BQ,22,0)</f>
        <v>#N/A</v>
      </c>
      <c r="AL93" s="69" t="e">
        <f ca="1">VLOOKUP($D93,모델정보데이터!AM:BQ,20,0)</f>
        <v>#N/A</v>
      </c>
      <c r="AM93" s="69" t="e">
        <f ca="1">VLOOKUP($D93,모델정보데이터!AM:BQ,23,0)</f>
        <v>#N/A</v>
      </c>
    </row>
    <row r="94" spans="2:39">
      <c r="B94" s="275"/>
      <c r="C94" s="1894" t="str">
        <f t="shared" ca="1" si="1"/>
        <v/>
      </c>
      <c r="D94" s="269" t="str">
        <f ca="1">IF(OFFSET($D$2,92,$B$2)=0,"",OFFSET($D$2,92,$B$2))</f>
        <v/>
      </c>
      <c r="E94" s="1385">
        <v>92</v>
      </c>
      <c r="G94" s="69"/>
      <c r="I94" s="69"/>
      <c r="J94" s="69"/>
      <c r="K94" s="69"/>
      <c r="O94" s="259" t="e">
        <f ca="1">VLOOKUP($D94,모델정보데이터!$AM$4:$BQ$398,3,0)</f>
        <v>#N/A</v>
      </c>
      <c r="P94" s="582" t="e">
        <f ca="1">VLOOKUP($D94,모델정보데이터!$AM$4:$BQ$398,4,0)</f>
        <v>#N/A</v>
      </c>
      <c r="Q94" s="582" t="e">
        <f ca="1">VLOOKUP($D94,모델정보데이터!$AM$4:$BQ$398,5,0)</f>
        <v>#N/A</v>
      </c>
      <c r="R94" s="582" t="e">
        <f ca="1">VLOOKUP($D94,모델정보데이터!$AM$4:$BQ$398,6,0)</f>
        <v>#N/A</v>
      </c>
      <c r="S94" s="582" t="e">
        <f ca="1">VLOOKUP($D94,모델정보데이터!$AM$4:$BQ$398,7,0)</f>
        <v>#N/A</v>
      </c>
      <c r="T94" s="582" t="e">
        <f ca="1">VLOOKUP($D94,모델정보데이터!$AM$4:$BQ$398,15,0)</f>
        <v>#N/A</v>
      </c>
      <c r="U94" s="582" t="e">
        <f ca="1">VLOOKUP($D94,모델정보데이터!$AM$4:$BQ$398,16,0)</f>
        <v>#N/A</v>
      </c>
      <c r="V94" s="582" t="e">
        <f ca="1">VLOOKUP($D94,모델정보데이터!$AM$4:$BQ$398,8,0)</f>
        <v>#N/A</v>
      </c>
      <c r="W94" s="582" t="e">
        <f ca="1">VLOOKUP($D94,모델정보데이터!$AM$4:$BQ$398,9,0)</f>
        <v>#N/A</v>
      </c>
      <c r="X94" s="582" t="e">
        <f ca="1">VLOOKUP($D94,모델정보데이터!$AM$4:$BM$278,27,0)</f>
        <v>#N/A</v>
      </c>
      <c r="Y94" s="582" t="e">
        <f ca="1">VLOOKUP($D94,모델정보데이터!$AM$4:$BQ$398,11,0)</f>
        <v>#N/A</v>
      </c>
      <c r="Z94" s="582" t="e">
        <f ca="1">VLOOKUP($D94,모델정보데이터!$AM$4:$BQ$398,18,0)</f>
        <v>#N/A</v>
      </c>
      <c r="AA94" s="582" t="e">
        <f ca="1">VLOOKUP($D94,모델정보데이터!$AM$4:$BQ$398,12,0)</f>
        <v>#N/A</v>
      </c>
      <c r="AB94" s="583" t="e">
        <f ca="1">VLOOKUP($D94,모델정보데이터!$AM$4:$BQ$398,13,0)</f>
        <v>#N/A</v>
      </c>
      <c r="AC94" s="582" t="e">
        <f ca="1">VLOOKUP($D94,모델정보데이터!$AM$4:$BQ$398,17,0)</f>
        <v>#N/A</v>
      </c>
      <c r="AD94" s="582" t="e">
        <f ca="1">VLOOKUP($D94,모델정보데이터!$AM$4:$BQ$398,10,0)</f>
        <v>#N/A</v>
      </c>
      <c r="AE94" s="582">
        <f ca="1">IFERROR(VLOOKUP(D94,모델정보데이터!$AM$3:$BD$278,27,0),0)</f>
        <v>0</v>
      </c>
      <c r="AF94" s="1134" t="e">
        <f ca="1">VLOOKUP($D94,모델정보데이터!$AM$4:$BQ$398,14,0)</f>
        <v>#N/A</v>
      </c>
      <c r="AG94" s="260" t="e">
        <f ca="1">VLOOKUP($D94,모델정보데이터!AM:BQ,30,0)</f>
        <v>#N/A</v>
      </c>
      <c r="AH94" s="260" t="e">
        <f ca="1">VLOOKUP($D94,모델정보데이터!AM:BQ,31,0)</f>
        <v>#N/A</v>
      </c>
      <c r="AI94" s="260" t="e">
        <f ca="1">VLOOKUP($D94,모델정보데이터!AM:BQ,19,0)</f>
        <v>#N/A</v>
      </c>
      <c r="AJ94" s="69" t="e">
        <f ca="1">VLOOKUP($D94,모델정보데이터!AM:BQ,21,0)</f>
        <v>#N/A</v>
      </c>
      <c r="AK94" s="69" t="e">
        <f ca="1">VLOOKUP($D94,모델정보데이터!AM:BQ,22,0)</f>
        <v>#N/A</v>
      </c>
      <c r="AL94" s="69" t="e">
        <f ca="1">VLOOKUP($D94,모델정보데이터!AM:BQ,20,0)</f>
        <v>#N/A</v>
      </c>
      <c r="AM94" s="69" t="e">
        <f ca="1">VLOOKUP($D94,모델정보데이터!AM:BQ,23,0)</f>
        <v>#N/A</v>
      </c>
    </row>
    <row r="95" spans="2:39">
      <c r="B95" s="275"/>
      <c r="C95" s="1894" t="str">
        <f t="shared" ca="1" si="1"/>
        <v/>
      </c>
      <c r="D95" s="269" t="str">
        <f ca="1">IF(OFFSET($D$2,93,$B$2)=0,"",OFFSET($D$2,93,$B$2))</f>
        <v/>
      </c>
      <c r="E95" s="1385">
        <v>93</v>
      </c>
      <c r="G95" s="69"/>
      <c r="I95" s="69"/>
      <c r="O95" s="259" t="e">
        <f ca="1">VLOOKUP($D95,모델정보데이터!$AM$4:$BQ$398,3,0)</f>
        <v>#N/A</v>
      </c>
      <c r="P95" s="582" t="e">
        <f ca="1">VLOOKUP($D95,모델정보데이터!$AM$4:$BQ$398,4,0)</f>
        <v>#N/A</v>
      </c>
      <c r="Q95" s="582" t="e">
        <f ca="1">VLOOKUP($D95,모델정보데이터!$AM$4:$BQ$398,5,0)</f>
        <v>#N/A</v>
      </c>
      <c r="R95" s="582" t="e">
        <f ca="1">VLOOKUP($D95,모델정보데이터!$AM$4:$BQ$398,6,0)</f>
        <v>#N/A</v>
      </c>
      <c r="S95" s="582" t="e">
        <f ca="1">VLOOKUP($D95,모델정보데이터!$AM$4:$BQ$398,7,0)</f>
        <v>#N/A</v>
      </c>
      <c r="T95" s="582" t="e">
        <f ca="1">VLOOKUP($D95,모델정보데이터!$AM$4:$BQ$398,15,0)</f>
        <v>#N/A</v>
      </c>
      <c r="U95" s="582" t="e">
        <f ca="1">VLOOKUP($D95,모델정보데이터!$AM$4:$BQ$398,16,0)</f>
        <v>#N/A</v>
      </c>
      <c r="V95" s="582" t="e">
        <f ca="1">VLOOKUP($D95,모델정보데이터!$AM$4:$BQ$398,8,0)</f>
        <v>#N/A</v>
      </c>
      <c r="W95" s="582" t="e">
        <f ca="1">VLOOKUP($D95,모델정보데이터!$AM$4:$BQ$398,9,0)</f>
        <v>#N/A</v>
      </c>
      <c r="X95" s="582" t="e">
        <f ca="1">VLOOKUP($D95,모델정보데이터!$AM$4:$BM$278,27,0)</f>
        <v>#N/A</v>
      </c>
      <c r="Y95" s="582" t="e">
        <f ca="1">VLOOKUP($D95,모델정보데이터!$AM$4:$BQ$398,11,0)</f>
        <v>#N/A</v>
      </c>
      <c r="Z95" s="582" t="e">
        <f ca="1">VLOOKUP($D95,모델정보데이터!$AM$4:$BQ$398,18,0)</f>
        <v>#N/A</v>
      </c>
      <c r="AA95" s="582" t="e">
        <f ca="1">VLOOKUP($D95,모델정보데이터!$AM$4:$BQ$398,12,0)</f>
        <v>#N/A</v>
      </c>
      <c r="AB95" s="583" t="e">
        <f ca="1">VLOOKUP($D95,모델정보데이터!$AM$4:$BQ$398,13,0)</f>
        <v>#N/A</v>
      </c>
      <c r="AC95" s="582" t="e">
        <f ca="1">VLOOKUP($D95,모델정보데이터!$AM$4:$BQ$398,17,0)</f>
        <v>#N/A</v>
      </c>
      <c r="AD95" s="582" t="e">
        <f ca="1">VLOOKUP($D95,모델정보데이터!$AM$4:$BQ$398,10,0)</f>
        <v>#N/A</v>
      </c>
      <c r="AE95" s="582">
        <f ca="1">IFERROR(VLOOKUP(D95,모델정보데이터!$AM$3:$BD$278,27,0),0)</f>
        <v>0</v>
      </c>
      <c r="AF95" s="1134" t="e">
        <f ca="1">VLOOKUP($D95,모델정보데이터!$AM$4:$BQ$398,14,0)</f>
        <v>#N/A</v>
      </c>
      <c r="AG95" s="260" t="e">
        <f ca="1">VLOOKUP($D95,모델정보데이터!AM:BQ,30,0)</f>
        <v>#N/A</v>
      </c>
      <c r="AH95" s="260" t="e">
        <f ca="1">VLOOKUP($D95,모델정보데이터!AM:BQ,31,0)</f>
        <v>#N/A</v>
      </c>
      <c r="AI95" s="260" t="e">
        <f ca="1">VLOOKUP($D95,모델정보데이터!AM:BQ,19,0)</f>
        <v>#N/A</v>
      </c>
      <c r="AJ95" s="69" t="e">
        <f ca="1">VLOOKUP($D95,모델정보데이터!AM:BQ,21,0)</f>
        <v>#N/A</v>
      </c>
      <c r="AK95" s="69" t="e">
        <f ca="1">VLOOKUP($D95,모델정보데이터!AM:BQ,22,0)</f>
        <v>#N/A</v>
      </c>
      <c r="AL95" s="69" t="e">
        <f ca="1">VLOOKUP($D95,모델정보데이터!AM:BQ,20,0)</f>
        <v>#N/A</v>
      </c>
      <c r="AM95" s="69" t="e">
        <f ca="1">VLOOKUP($D95,모델정보데이터!AM:BQ,23,0)</f>
        <v>#N/A</v>
      </c>
    </row>
    <row r="96" spans="2:39">
      <c r="B96" s="275"/>
      <c r="C96" s="1894" t="str">
        <f t="shared" ca="1" si="1"/>
        <v/>
      </c>
      <c r="D96" s="269" t="str">
        <f ca="1">IF(OFFSET($D$2,94,$B$2)=0,"",OFFSET($D$2,94,$B$2))</f>
        <v/>
      </c>
      <c r="E96" s="1385">
        <v>94</v>
      </c>
      <c r="G96" s="69"/>
      <c r="I96" s="69"/>
      <c r="O96" s="259" t="e">
        <f ca="1">VLOOKUP($D96,모델정보데이터!$AM$4:$BQ$398,3,0)</f>
        <v>#N/A</v>
      </c>
      <c r="P96" s="582" t="e">
        <f ca="1">VLOOKUP($D96,모델정보데이터!$AM$4:$BQ$398,4,0)</f>
        <v>#N/A</v>
      </c>
      <c r="Q96" s="582" t="e">
        <f ca="1">VLOOKUP($D96,모델정보데이터!$AM$4:$BQ$398,5,0)</f>
        <v>#N/A</v>
      </c>
      <c r="R96" s="582" t="e">
        <f ca="1">VLOOKUP($D96,모델정보데이터!$AM$4:$BQ$398,6,0)</f>
        <v>#N/A</v>
      </c>
      <c r="S96" s="582" t="e">
        <f ca="1">VLOOKUP($D96,모델정보데이터!$AM$4:$BQ$398,7,0)</f>
        <v>#N/A</v>
      </c>
      <c r="T96" s="582" t="e">
        <f ca="1">VLOOKUP($D96,모델정보데이터!$AM$4:$BQ$398,15,0)</f>
        <v>#N/A</v>
      </c>
      <c r="U96" s="582" t="e">
        <f ca="1">VLOOKUP($D96,모델정보데이터!$AM$4:$BQ$398,16,0)</f>
        <v>#N/A</v>
      </c>
      <c r="V96" s="582" t="e">
        <f ca="1">VLOOKUP($D96,모델정보데이터!$AM$4:$BQ$398,8,0)</f>
        <v>#N/A</v>
      </c>
      <c r="W96" s="582" t="e">
        <f ca="1">VLOOKUP($D96,모델정보데이터!$AM$4:$BQ$398,9,0)</f>
        <v>#N/A</v>
      </c>
      <c r="X96" s="582" t="e">
        <f ca="1">VLOOKUP($D96,모델정보데이터!$AM$4:$BM$278,27,0)</f>
        <v>#N/A</v>
      </c>
      <c r="Y96" s="582" t="e">
        <f ca="1">VLOOKUP($D96,모델정보데이터!$AM$4:$BQ$398,11,0)</f>
        <v>#N/A</v>
      </c>
      <c r="Z96" s="582" t="e">
        <f ca="1">VLOOKUP($D96,모델정보데이터!$AM$4:$BQ$398,18,0)</f>
        <v>#N/A</v>
      </c>
      <c r="AA96" s="582" t="e">
        <f ca="1">VLOOKUP($D96,모델정보데이터!$AM$4:$BQ$398,12,0)</f>
        <v>#N/A</v>
      </c>
      <c r="AB96" s="583" t="e">
        <f ca="1">VLOOKUP($D96,모델정보데이터!$AM$4:$BQ$398,13,0)</f>
        <v>#N/A</v>
      </c>
      <c r="AC96" s="582" t="e">
        <f ca="1">VLOOKUP($D96,모델정보데이터!$AM$4:$BQ$398,17,0)</f>
        <v>#N/A</v>
      </c>
      <c r="AD96" s="582" t="e">
        <f ca="1">VLOOKUP($D96,모델정보데이터!$AM$4:$BQ$398,10,0)</f>
        <v>#N/A</v>
      </c>
      <c r="AE96" s="582">
        <f ca="1">IFERROR(VLOOKUP(D96,모델정보데이터!$AM$3:$BD$278,27,0),0)</f>
        <v>0</v>
      </c>
      <c r="AF96" s="1134" t="e">
        <f ca="1">VLOOKUP($D96,모델정보데이터!$AM$4:$BQ$398,14,0)</f>
        <v>#N/A</v>
      </c>
      <c r="AG96" s="260" t="e">
        <f ca="1">VLOOKUP($D96,모델정보데이터!AM:BQ,30,0)</f>
        <v>#N/A</v>
      </c>
      <c r="AH96" s="260" t="e">
        <f ca="1">VLOOKUP($D96,모델정보데이터!AM:BQ,31,0)</f>
        <v>#N/A</v>
      </c>
      <c r="AI96" s="260" t="e">
        <f ca="1">VLOOKUP($D96,모델정보데이터!AM:BQ,19,0)</f>
        <v>#N/A</v>
      </c>
      <c r="AJ96" s="69" t="e">
        <f ca="1">VLOOKUP($D96,모델정보데이터!AM:BQ,21,0)</f>
        <v>#N/A</v>
      </c>
      <c r="AK96" s="69" t="e">
        <f ca="1">VLOOKUP($D96,모델정보데이터!AM:BQ,22,0)</f>
        <v>#N/A</v>
      </c>
      <c r="AL96" s="69" t="e">
        <f ca="1">VLOOKUP($D96,모델정보데이터!AM:BQ,20,0)</f>
        <v>#N/A</v>
      </c>
      <c r="AM96" s="69" t="e">
        <f ca="1">VLOOKUP($D96,모델정보데이터!AM:BQ,23,0)</f>
        <v>#N/A</v>
      </c>
    </row>
    <row r="97" spans="2:39">
      <c r="B97" s="275"/>
      <c r="C97" s="1894" t="str">
        <f t="shared" ca="1" si="1"/>
        <v/>
      </c>
      <c r="D97" s="269" t="str">
        <f ca="1">IF(OFFSET($D$2,95,$B$2)=0,"",OFFSET($D$2,95,$B$2))</f>
        <v/>
      </c>
      <c r="E97" s="1385">
        <v>95</v>
      </c>
      <c r="G97" s="69"/>
      <c r="I97" s="69"/>
      <c r="O97" s="259" t="e">
        <f ca="1">VLOOKUP($D97,모델정보데이터!$AM$4:$BQ$398,3,0)</f>
        <v>#N/A</v>
      </c>
      <c r="P97" s="582" t="e">
        <f ca="1">VLOOKUP($D97,모델정보데이터!$AM$4:$BQ$398,4,0)</f>
        <v>#N/A</v>
      </c>
      <c r="Q97" s="582" t="e">
        <f ca="1">VLOOKUP($D97,모델정보데이터!$AM$4:$BQ$398,5,0)</f>
        <v>#N/A</v>
      </c>
      <c r="R97" s="582" t="e">
        <f ca="1">VLOOKUP($D97,모델정보데이터!$AM$4:$BQ$398,6,0)</f>
        <v>#N/A</v>
      </c>
      <c r="S97" s="582" t="e">
        <f ca="1">VLOOKUP($D97,모델정보데이터!$AM$4:$BQ$398,7,0)</f>
        <v>#N/A</v>
      </c>
      <c r="T97" s="582" t="e">
        <f ca="1">VLOOKUP($D97,모델정보데이터!$AM$4:$BQ$398,15,0)</f>
        <v>#N/A</v>
      </c>
      <c r="U97" s="582" t="e">
        <f ca="1">VLOOKUP($D97,모델정보데이터!$AM$4:$BQ$398,16,0)</f>
        <v>#N/A</v>
      </c>
      <c r="V97" s="582" t="e">
        <f ca="1">VLOOKUP($D97,모델정보데이터!$AM$4:$BQ$398,8,0)</f>
        <v>#N/A</v>
      </c>
      <c r="W97" s="582" t="e">
        <f ca="1">VLOOKUP($D97,모델정보데이터!$AM$4:$BQ$398,9,0)</f>
        <v>#N/A</v>
      </c>
      <c r="X97" s="582" t="e">
        <f ca="1">VLOOKUP($D97,모델정보데이터!$AM$4:$BM$278,27,0)</f>
        <v>#N/A</v>
      </c>
      <c r="Y97" s="582" t="e">
        <f ca="1">VLOOKUP($D97,모델정보데이터!$AM$4:$BQ$398,11,0)</f>
        <v>#N/A</v>
      </c>
      <c r="Z97" s="582" t="e">
        <f ca="1">VLOOKUP($D97,모델정보데이터!$AM$4:$BQ$398,18,0)</f>
        <v>#N/A</v>
      </c>
      <c r="AA97" s="582" t="e">
        <f ca="1">VLOOKUP($D97,모델정보데이터!$AM$4:$BQ$398,12,0)</f>
        <v>#N/A</v>
      </c>
      <c r="AB97" s="583" t="e">
        <f ca="1">VLOOKUP($D97,모델정보데이터!$AM$4:$BQ$398,13,0)</f>
        <v>#N/A</v>
      </c>
      <c r="AC97" s="582" t="e">
        <f ca="1">VLOOKUP($D97,모델정보데이터!$AM$4:$BQ$398,17,0)</f>
        <v>#N/A</v>
      </c>
      <c r="AD97" s="582" t="e">
        <f ca="1">VLOOKUP($D97,모델정보데이터!$AM$4:$BQ$398,10,0)</f>
        <v>#N/A</v>
      </c>
      <c r="AE97" s="582">
        <f ca="1">IFERROR(VLOOKUP(D97,모델정보데이터!$AM$3:$BD$278,27,0),0)</f>
        <v>0</v>
      </c>
      <c r="AF97" s="1134" t="e">
        <f ca="1">VLOOKUP($D97,모델정보데이터!$AM$4:$BQ$398,14,0)</f>
        <v>#N/A</v>
      </c>
      <c r="AG97" s="260" t="e">
        <f ca="1">VLOOKUP($D97,모델정보데이터!AM:BQ,30,0)</f>
        <v>#N/A</v>
      </c>
      <c r="AH97" s="260" t="e">
        <f ca="1">VLOOKUP($D97,모델정보데이터!AM:BQ,31,0)</f>
        <v>#N/A</v>
      </c>
      <c r="AI97" s="260" t="e">
        <f ca="1">VLOOKUP($D97,모델정보데이터!AM:BQ,19,0)</f>
        <v>#N/A</v>
      </c>
      <c r="AJ97" s="69" t="e">
        <f ca="1">VLOOKUP($D97,모델정보데이터!AM:BQ,21,0)</f>
        <v>#N/A</v>
      </c>
      <c r="AK97" s="69" t="e">
        <f ca="1">VLOOKUP($D97,모델정보데이터!AM:BQ,22,0)</f>
        <v>#N/A</v>
      </c>
      <c r="AL97" s="69" t="e">
        <f ca="1">VLOOKUP($D97,모델정보데이터!AM:BQ,20,0)</f>
        <v>#N/A</v>
      </c>
      <c r="AM97" s="69" t="e">
        <f ca="1">VLOOKUP($D97,모델정보데이터!AM:BQ,23,0)</f>
        <v>#N/A</v>
      </c>
    </row>
    <row r="98" spans="2:39">
      <c r="B98" s="275"/>
      <c r="C98" s="1894" t="str">
        <f t="shared" ca="1" si="1"/>
        <v/>
      </c>
      <c r="D98" s="269" t="str">
        <f ca="1">IF(OFFSET($D$2,96,$B$2)=0,"",OFFSET($D$2,96,$B$2))</f>
        <v/>
      </c>
      <c r="E98" s="1385">
        <v>96</v>
      </c>
      <c r="G98" s="69"/>
      <c r="I98" s="69"/>
      <c r="O98" s="259" t="e">
        <f ca="1">VLOOKUP($D98,모델정보데이터!$AM$4:$BQ$398,3,0)</f>
        <v>#N/A</v>
      </c>
      <c r="P98" s="582" t="e">
        <f ca="1">VLOOKUP($D98,모델정보데이터!$AM$4:$BQ$398,4,0)</f>
        <v>#N/A</v>
      </c>
      <c r="Q98" s="582" t="e">
        <f ca="1">VLOOKUP($D98,모델정보데이터!$AM$4:$BQ$398,5,0)</f>
        <v>#N/A</v>
      </c>
      <c r="R98" s="582" t="e">
        <f ca="1">VLOOKUP($D98,모델정보데이터!$AM$4:$BQ$398,6,0)</f>
        <v>#N/A</v>
      </c>
      <c r="S98" s="582" t="e">
        <f ca="1">VLOOKUP($D98,모델정보데이터!$AM$4:$BQ$398,7,0)</f>
        <v>#N/A</v>
      </c>
      <c r="T98" s="582" t="e">
        <f ca="1">VLOOKUP($D98,모델정보데이터!$AM$4:$BQ$398,15,0)</f>
        <v>#N/A</v>
      </c>
      <c r="U98" s="582" t="e">
        <f ca="1">VLOOKUP($D98,모델정보데이터!$AM$4:$BQ$398,16,0)</f>
        <v>#N/A</v>
      </c>
      <c r="V98" s="582" t="e">
        <f ca="1">VLOOKUP($D98,모델정보데이터!$AM$4:$BQ$398,8,0)</f>
        <v>#N/A</v>
      </c>
      <c r="W98" s="582" t="e">
        <f ca="1">VLOOKUP($D98,모델정보데이터!$AM$4:$BQ$398,9,0)</f>
        <v>#N/A</v>
      </c>
      <c r="X98" s="582" t="e">
        <f ca="1">VLOOKUP($D98,모델정보데이터!$AM$4:$BM$278,27,0)</f>
        <v>#N/A</v>
      </c>
      <c r="Y98" s="582" t="e">
        <f ca="1">VLOOKUP($D98,모델정보데이터!$AM$4:$BQ$398,11,0)</f>
        <v>#N/A</v>
      </c>
      <c r="Z98" s="582" t="e">
        <f ca="1">VLOOKUP($D98,모델정보데이터!$AM$4:$BQ$398,18,0)</f>
        <v>#N/A</v>
      </c>
      <c r="AA98" s="582" t="e">
        <f ca="1">VLOOKUP($D98,모델정보데이터!$AM$4:$BQ$398,12,0)</f>
        <v>#N/A</v>
      </c>
      <c r="AB98" s="583" t="e">
        <f ca="1">VLOOKUP($D98,모델정보데이터!$AM$4:$BQ$398,13,0)</f>
        <v>#N/A</v>
      </c>
      <c r="AC98" s="582" t="e">
        <f ca="1">VLOOKUP($D98,모델정보데이터!$AM$4:$BQ$398,17,0)</f>
        <v>#N/A</v>
      </c>
      <c r="AD98" s="582" t="e">
        <f ca="1">VLOOKUP($D98,모델정보데이터!$AM$4:$BQ$398,10,0)</f>
        <v>#N/A</v>
      </c>
      <c r="AE98" s="582">
        <f ca="1">IFERROR(VLOOKUP(D98,모델정보데이터!$AM$3:$BD$278,27,0),0)</f>
        <v>0</v>
      </c>
      <c r="AF98" s="1134" t="e">
        <f ca="1">VLOOKUP($D98,모델정보데이터!$AM$4:$BQ$398,14,0)</f>
        <v>#N/A</v>
      </c>
      <c r="AG98" s="260" t="e">
        <f ca="1">VLOOKUP($D98,모델정보데이터!AM:BQ,30,0)</f>
        <v>#N/A</v>
      </c>
      <c r="AH98" s="260" t="e">
        <f ca="1">VLOOKUP($D98,모델정보데이터!AM:BQ,31,0)</f>
        <v>#N/A</v>
      </c>
      <c r="AI98" s="260" t="e">
        <f ca="1">VLOOKUP($D98,모델정보데이터!AM:BQ,19,0)</f>
        <v>#N/A</v>
      </c>
      <c r="AJ98" s="69" t="e">
        <f ca="1">VLOOKUP($D98,모델정보데이터!AM:BQ,21,0)</f>
        <v>#N/A</v>
      </c>
      <c r="AK98" s="69" t="e">
        <f ca="1">VLOOKUP($D98,모델정보데이터!AM:BQ,22,0)</f>
        <v>#N/A</v>
      </c>
      <c r="AL98" s="69" t="e">
        <f ca="1">VLOOKUP($D98,모델정보데이터!AM:BQ,20,0)</f>
        <v>#N/A</v>
      </c>
      <c r="AM98" s="69" t="e">
        <f ca="1">VLOOKUP($D98,모델정보데이터!AM:BQ,23,0)</f>
        <v>#N/A</v>
      </c>
    </row>
    <row r="99" spans="2:39">
      <c r="B99" s="275"/>
      <c r="C99" s="1894" t="str">
        <f t="shared" ca="1" si="1"/>
        <v/>
      </c>
      <c r="D99" s="269" t="str">
        <f ca="1">IF(OFFSET($D$2,97,$B$2)=0,"",OFFSET($D$2,97,$B$2))</f>
        <v/>
      </c>
      <c r="E99" s="1385">
        <v>97</v>
      </c>
      <c r="G99" s="69"/>
      <c r="I99" s="69"/>
      <c r="O99" s="259" t="e">
        <f ca="1">VLOOKUP($D99,모델정보데이터!$AM$4:$BQ$398,3,0)</f>
        <v>#N/A</v>
      </c>
      <c r="P99" s="582" t="e">
        <f ca="1">VLOOKUP($D99,모델정보데이터!$AM$4:$BQ$398,4,0)</f>
        <v>#N/A</v>
      </c>
      <c r="Q99" s="582" t="e">
        <f ca="1">VLOOKUP($D99,모델정보데이터!$AM$4:$BQ$398,5,0)</f>
        <v>#N/A</v>
      </c>
      <c r="R99" s="582" t="e">
        <f ca="1">VLOOKUP($D99,모델정보데이터!$AM$4:$BQ$398,6,0)</f>
        <v>#N/A</v>
      </c>
      <c r="S99" s="582" t="e">
        <f ca="1">VLOOKUP($D99,모델정보데이터!$AM$4:$BQ$398,7,0)</f>
        <v>#N/A</v>
      </c>
      <c r="T99" s="582" t="e">
        <f ca="1">VLOOKUP($D99,모델정보데이터!$AM$4:$BQ$398,15,0)</f>
        <v>#N/A</v>
      </c>
      <c r="U99" s="582" t="e">
        <f ca="1">VLOOKUP($D99,모델정보데이터!$AM$4:$BQ$398,16,0)</f>
        <v>#N/A</v>
      </c>
      <c r="V99" s="582" t="e">
        <f ca="1">VLOOKUP($D99,모델정보데이터!$AM$4:$BQ$398,8,0)</f>
        <v>#N/A</v>
      </c>
      <c r="W99" s="582" t="e">
        <f ca="1">VLOOKUP($D99,모델정보데이터!$AM$4:$BQ$398,9,0)</f>
        <v>#N/A</v>
      </c>
      <c r="X99" s="582" t="e">
        <f ca="1">VLOOKUP($D99,모델정보데이터!$AM$4:$BM$278,27,0)</f>
        <v>#N/A</v>
      </c>
      <c r="Y99" s="582" t="e">
        <f ca="1">VLOOKUP($D99,모델정보데이터!$AM$4:$BQ$398,11,0)</f>
        <v>#N/A</v>
      </c>
      <c r="Z99" s="582" t="e">
        <f ca="1">VLOOKUP($D99,모델정보데이터!$AM$4:$BQ$398,18,0)</f>
        <v>#N/A</v>
      </c>
      <c r="AA99" s="582" t="e">
        <f ca="1">VLOOKUP($D99,모델정보데이터!$AM$4:$BQ$398,12,0)</f>
        <v>#N/A</v>
      </c>
      <c r="AB99" s="583" t="e">
        <f ca="1">VLOOKUP($D99,모델정보데이터!$AM$4:$BQ$398,13,0)</f>
        <v>#N/A</v>
      </c>
      <c r="AC99" s="582" t="e">
        <f ca="1">VLOOKUP($D99,모델정보데이터!$AM$4:$BQ$398,17,0)</f>
        <v>#N/A</v>
      </c>
      <c r="AD99" s="582" t="e">
        <f ca="1">VLOOKUP($D99,모델정보데이터!$AM$4:$BQ$398,10,0)</f>
        <v>#N/A</v>
      </c>
      <c r="AE99" s="582">
        <f ca="1">IFERROR(VLOOKUP(D99,모델정보데이터!$AM$3:$BD$278,27,0),0)</f>
        <v>0</v>
      </c>
      <c r="AF99" s="1134" t="e">
        <f ca="1">VLOOKUP($D99,모델정보데이터!$AM$4:$BQ$398,14,0)</f>
        <v>#N/A</v>
      </c>
      <c r="AG99" s="260" t="e">
        <f ca="1">VLOOKUP($D99,모델정보데이터!AM:BQ,30,0)</f>
        <v>#N/A</v>
      </c>
      <c r="AH99" s="260" t="e">
        <f ca="1">VLOOKUP($D99,모델정보데이터!AM:BQ,31,0)</f>
        <v>#N/A</v>
      </c>
      <c r="AI99" s="260" t="e">
        <f ca="1">VLOOKUP($D99,모델정보데이터!AM:BQ,19,0)</f>
        <v>#N/A</v>
      </c>
      <c r="AJ99" s="69" t="e">
        <f ca="1">VLOOKUP($D99,모델정보데이터!AM:BQ,21,0)</f>
        <v>#N/A</v>
      </c>
      <c r="AK99" s="69" t="e">
        <f ca="1">VLOOKUP($D99,모델정보데이터!AM:BQ,22,0)</f>
        <v>#N/A</v>
      </c>
      <c r="AL99" s="69" t="e">
        <f ca="1">VLOOKUP($D99,모델정보데이터!AM:BQ,20,0)</f>
        <v>#N/A</v>
      </c>
      <c r="AM99" s="69" t="e">
        <f ca="1">VLOOKUP($D99,모델정보데이터!AM:BQ,23,0)</f>
        <v>#N/A</v>
      </c>
    </row>
    <row r="100" spans="2:39">
      <c r="C100" s="1895" t="str">
        <f t="shared" ref="C100" ca="1" si="2">+D100</f>
        <v/>
      </c>
      <c r="D100" s="269" t="str">
        <f ca="1">IF(OFFSET($D$2,98,$B$2)=0,"",OFFSET($D$2,98,$B$2))</f>
        <v/>
      </c>
      <c r="E100" s="1385">
        <v>98</v>
      </c>
      <c r="G100" s="69"/>
      <c r="O100" s="259" t="e">
        <f ca="1">VLOOKUP($D100,모델정보데이터!$AM$4:$BQ$398,3,0)</f>
        <v>#N/A</v>
      </c>
      <c r="P100" s="582" t="e">
        <f ca="1">VLOOKUP($D100,모델정보데이터!$AM$4:$BQ$398,4,0)</f>
        <v>#N/A</v>
      </c>
      <c r="Q100" s="582" t="e">
        <f ca="1">VLOOKUP($D100,모델정보데이터!$AM$4:$BQ$398,5,0)</f>
        <v>#N/A</v>
      </c>
      <c r="R100" s="582" t="e">
        <f ca="1">VLOOKUP($D100,모델정보데이터!$AM$4:$BQ$398,6,0)</f>
        <v>#N/A</v>
      </c>
      <c r="S100" s="582" t="e">
        <f ca="1">VLOOKUP($D100,모델정보데이터!$AM$4:$BQ$398,7,0)</f>
        <v>#N/A</v>
      </c>
      <c r="T100" s="582" t="e">
        <f ca="1">VLOOKUP($D100,모델정보데이터!$AM$4:$BQ$398,15,0)</f>
        <v>#N/A</v>
      </c>
      <c r="U100" s="582" t="e">
        <f ca="1">VLOOKUP($D100,모델정보데이터!$AM$4:$BQ$398,16,0)</f>
        <v>#N/A</v>
      </c>
      <c r="V100" s="582" t="e">
        <f ca="1">VLOOKUP($D100,모델정보데이터!$AM$4:$BQ$398,8,0)</f>
        <v>#N/A</v>
      </c>
      <c r="W100" s="582" t="e">
        <f ca="1">VLOOKUP($D100,모델정보데이터!$AM$4:$BQ$398,9,0)</f>
        <v>#N/A</v>
      </c>
      <c r="X100" s="582" t="e">
        <f ca="1">VLOOKUP($D100,모델정보데이터!$AM$4:$BM$278,27,0)</f>
        <v>#N/A</v>
      </c>
      <c r="Y100" s="582" t="e">
        <f ca="1">VLOOKUP($D100,모델정보데이터!$AM$4:$BQ$398,11,0)</f>
        <v>#N/A</v>
      </c>
      <c r="Z100" s="582" t="e">
        <f ca="1">VLOOKUP($D100,모델정보데이터!$AM$4:$BQ$398,18,0)</f>
        <v>#N/A</v>
      </c>
      <c r="AA100" s="582" t="e">
        <f ca="1">VLOOKUP($D100,모델정보데이터!$AM$4:$BQ$398,12,0)</f>
        <v>#N/A</v>
      </c>
      <c r="AB100" s="583" t="e">
        <f ca="1">VLOOKUP($D100,모델정보데이터!$AM$4:$BQ$398,13,0)</f>
        <v>#N/A</v>
      </c>
      <c r="AC100" s="582" t="e">
        <f ca="1">VLOOKUP($D100,모델정보데이터!$AM$4:$BQ$398,17,0)</f>
        <v>#N/A</v>
      </c>
      <c r="AD100" s="582" t="e">
        <f ca="1">VLOOKUP($D100,모델정보데이터!$AM$4:$BQ$398,10,0)</f>
        <v>#N/A</v>
      </c>
      <c r="AE100" s="582">
        <f ca="1">IFERROR(VLOOKUP(D100,모델정보데이터!$AM$3:$BD$278,27,0),0)</f>
        <v>0</v>
      </c>
      <c r="AF100" s="1134" t="e">
        <f ca="1">VLOOKUP($D100,모델정보데이터!$AM$4:$BQ$398,14,0)</f>
        <v>#N/A</v>
      </c>
      <c r="AG100" s="260" t="e">
        <f ca="1">VLOOKUP($D100,모델정보데이터!AM:BQ,30,0)</f>
        <v>#N/A</v>
      </c>
      <c r="AH100" s="260" t="e">
        <f ca="1">VLOOKUP($D100,모델정보데이터!AM:BQ,31,0)</f>
        <v>#N/A</v>
      </c>
      <c r="AI100" s="260" t="e">
        <f ca="1">VLOOKUP($D100,모델정보데이터!AM:BQ,19,0)</f>
        <v>#N/A</v>
      </c>
      <c r="AJ100" s="69" t="e">
        <f ca="1">VLOOKUP($D100,모델정보데이터!AM:BQ,21,0)</f>
        <v>#N/A</v>
      </c>
      <c r="AK100" s="69" t="e">
        <f ca="1">VLOOKUP($D100,모델정보데이터!AM:BQ,22,0)</f>
        <v>#N/A</v>
      </c>
      <c r="AL100" s="69" t="e">
        <f ca="1">VLOOKUP($D100,모델정보데이터!AM:BQ,20,0)</f>
        <v>#N/A</v>
      </c>
      <c r="AM100" s="69" t="e">
        <f ca="1">VLOOKUP($D100,모델정보데이터!AM:BQ,23,0)</f>
        <v>#N/A</v>
      </c>
    </row>
    <row r="101" spans="2:39">
      <c r="C101" s="1895" t="str">
        <f ca="1">+D101</f>
        <v/>
      </c>
      <c r="D101" s="269" t="str">
        <f ca="1">IF(OFFSET($D$2,99,$B$2)=0,"",OFFSET($D$2,99,$B$2))</f>
        <v/>
      </c>
      <c r="E101" s="1385">
        <v>99</v>
      </c>
      <c r="G101" s="69"/>
      <c r="O101" s="259" t="e">
        <f ca="1">VLOOKUP($D101,모델정보데이터!$AM$4:$BQ$398,3,0)</f>
        <v>#N/A</v>
      </c>
      <c r="P101" s="582" t="e">
        <f ca="1">VLOOKUP($D101,모델정보데이터!$AM$4:$BQ$398,4,0)</f>
        <v>#N/A</v>
      </c>
      <c r="Q101" s="582" t="e">
        <f ca="1">VLOOKUP($D101,모델정보데이터!$AM$4:$BQ$398,5,0)</f>
        <v>#N/A</v>
      </c>
      <c r="R101" s="582" t="e">
        <f ca="1">VLOOKUP($D101,모델정보데이터!$AM$4:$BQ$398,6,0)</f>
        <v>#N/A</v>
      </c>
      <c r="S101" s="582" t="e">
        <f ca="1">VLOOKUP($D101,모델정보데이터!$AM$4:$BQ$398,7,0)</f>
        <v>#N/A</v>
      </c>
      <c r="T101" s="582" t="e">
        <f ca="1">VLOOKUP($D101,모델정보데이터!$AM$4:$BQ$398,15,0)</f>
        <v>#N/A</v>
      </c>
      <c r="U101" s="582" t="e">
        <f ca="1">VLOOKUP($D101,모델정보데이터!$AM$4:$BQ$398,16,0)</f>
        <v>#N/A</v>
      </c>
      <c r="V101" s="582" t="e">
        <f ca="1">VLOOKUP($D101,모델정보데이터!$AM$4:$BQ$398,8,0)</f>
        <v>#N/A</v>
      </c>
      <c r="W101" s="582" t="e">
        <f ca="1">VLOOKUP($D101,모델정보데이터!$AM$4:$BQ$398,9,0)</f>
        <v>#N/A</v>
      </c>
      <c r="X101" s="582" t="e">
        <f ca="1">VLOOKUP($D101,모델정보데이터!$AM$4:$BM$278,27,0)</f>
        <v>#N/A</v>
      </c>
      <c r="Y101" s="582" t="e">
        <f ca="1">VLOOKUP($D101,모델정보데이터!$AM$4:$BQ$398,11,0)</f>
        <v>#N/A</v>
      </c>
      <c r="Z101" s="582" t="e">
        <f ca="1">VLOOKUP($D101,모델정보데이터!$AM$4:$BQ$398,18,0)</f>
        <v>#N/A</v>
      </c>
      <c r="AA101" s="582" t="e">
        <f ca="1">VLOOKUP($D101,모델정보데이터!$AM$4:$BQ$398,12,0)</f>
        <v>#N/A</v>
      </c>
      <c r="AB101" s="583" t="e">
        <f ca="1">VLOOKUP($D101,모델정보데이터!$AM$4:$BQ$398,13,0)</f>
        <v>#N/A</v>
      </c>
      <c r="AC101" s="582" t="e">
        <f ca="1">VLOOKUP($D101,모델정보데이터!$AM$4:$BQ$398,17,0)</f>
        <v>#N/A</v>
      </c>
      <c r="AD101" s="582" t="e">
        <f ca="1">VLOOKUP($D101,모델정보데이터!$AM$4:$BQ$398,10,0)</f>
        <v>#N/A</v>
      </c>
      <c r="AE101" s="582">
        <f ca="1">IFERROR(VLOOKUP(D101,모델정보데이터!$AM$3:$BD$278,27,0),0)</f>
        <v>0</v>
      </c>
      <c r="AF101" s="1134" t="e">
        <f ca="1">VLOOKUP($D101,모델정보데이터!$AM$4:$BQ$398,14,0)</f>
        <v>#N/A</v>
      </c>
      <c r="AG101" s="260" t="e">
        <f ca="1">VLOOKUP($D101,모델정보데이터!AM:BQ,30,0)</f>
        <v>#N/A</v>
      </c>
      <c r="AH101" s="260" t="e">
        <f ca="1">VLOOKUP($D101,모델정보데이터!AM:BQ,31,0)</f>
        <v>#N/A</v>
      </c>
      <c r="AI101" s="260" t="e">
        <f ca="1">VLOOKUP($D101,모델정보데이터!AM:BQ,19,0)</f>
        <v>#N/A</v>
      </c>
      <c r="AJ101" s="69" t="e">
        <f ca="1">VLOOKUP($D101,모델정보데이터!AM:BQ,21,0)</f>
        <v>#N/A</v>
      </c>
      <c r="AK101" s="69" t="e">
        <f ca="1">VLOOKUP($D101,모델정보데이터!AM:BQ,22,0)</f>
        <v>#N/A</v>
      </c>
      <c r="AL101" s="69" t="e">
        <f ca="1">VLOOKUP($D101,모델정보데이터!AM:BQ,20,0)</f>
        <v>#N/A</v>
      </c>
      <c r="AM101" s="69" t="e">
        <f ca="1">VLOOKUP($D101,모델정보데이터!AM:BQ,23,0)</f>
        <v>#N/A</v>
      </c>
    </row>
    <row r="102" spans="2:39" ht="13.5" thickBot="1">
      <c r="C102" s="1895" t="str">
        <f ca="1">+D102</f>
        <v/>
      </c>
      <c r="D102" s="269" t="str">
        <f ca="1">IF(OFFSET($D$2,100,$B$2)=0,"",OFFSET($D$2,100,$B$2))</f>
        <v/>
      </c>
      <c r="E102" s="1386">
        <v>100</v>
      </c>
      <c r="G102" s="69"/>
      <c r="O102" s="259" t="e">
        <f ca="1">VLOOKUP($D102,모델정보데이터!$AM$4:$BQ$398,3,0)</f>
        <v>#N/A</v>
      </c>
      <c r="P102" s="582" t="e">
        <f ca="1">VLOOKUP($D102,모델정보데이터!$AM$4:$BQ$398,4,0)</f>
        <v>#N/A</v>
      </c>
      <c r="Q102" s="582" t="e">
        <f ca="1">VLOOKUP($D102,모델정보데이터!$AM$4:$BQ$398,5,0)</f>
        <v>#N/A</v>
      </c>
      <c r="R102" s="582" t="e">
        <f ca="1">VLOOKUP($D102,모델정보데이터!$AM$4:$BQ$398,6,0)</f>
        <v>#N/A</v>
      </c>
      <c r="S102" s="582" t="e">
        <f ca="1">VLOOKUP($D102,모델정보데이터!$AM$4:$BQ$398,7,0)</f>
        <v>#N/A</v>
      </c>
      <c r="T102" s="582" t="e">
        <f ca="1">VLOOKUP($D102,모델정보데이터!$AM$4:$BQ$398,15,0)</f>
        <v>#N/A</v>
      </c>
      <c r="U102" s="582" t="e">
        <f ca="1">VLOOKUP($D102,모델정보데이터!$AM$4:$BQ$398,16,0)</f>
        <v>#N/A</v>
      </c>
      <c r="V102" s="582" t="e">
        <f ca="1">VLOOKUP($D102,모델정보데이터!$AM$4:$BQ$398,8,0)</f>
        <v>#N/A</v>
      </c>
      <c r="W102" s="582" t="e">
        <f ca="1">VLOOKUP($D102,모델정보데이터!$AM$4:$BQ$398,9,0)</f>
        <v>#N/A</v>
      </c>
      <c r="X102" s="582" t="e">
        <f ca="1">VLOOKUP($D102,모델정보데이터!$AM$4:$BM$278,27,0)</f>
        <v>#N/A</v>
      </c>
      <c r="Y102" s="582" t="e">
        <f ca="1">VLOOKUP($D102,모델정보데이터!$AM$4:$BQ$398,11,0)</f>
        <v>#N/A</v>
      </c>
      <c r="Z102" s="582" t="e">
        <f ca="1">VLOOKUP($D102,모델정보데이터!$AM$4:$BQ$398,18,0)</f>
        <v>#N/A</v>
      </c>
      <c r="AA102" s="582" t="e">
        <f ca="1">VLOOKUP($D102,모델정보데이터!$AM$4:$BQ$398,12,0)</f>
        <v>#N/A</v>
      </c>
      <c r="AB102" s="583" t="e">
        <f ca="1">VLOOKUP($D102,모델정보데이터!$AM$4:$BQ$398,13,0)</f>
        <v>#N/A</v>
      </c>
      <c r="AC102" s="582" t="e">
        <f ca="1">VLOOKUP($D102,모델정보데이터!$AM$4:$BQ$398,17,0)</f>
        <v>#N/A</v>
      </c>
      <c r="AD102" s="582" t="e">
        <f ca="1">VLOOKUP($D102,모델정보데이터!$AM$4:$BQ$398,10,0)</f>
        <v>#N/A</v>
      </c>
      <c r="AE102" s="582">
        <f ca="1">IFERROR(VLOOKUP(D102,모델정보데이터!$AM$3:$BD$278,27,0),0)</f>
        <v>0</v>
      </c>
      <c r="AF102" s="1134" t="e">
        <f ca="1">VLOOKUP($D102,모델정보데이터!$AM$4:$BQ$398,14,0)</f>
        <v>#N/A</v>
      </c>
      <c r="AG102" s="260" t="e">
        <f ca="1">VLOOKUP($D102,모델정보데이터!AM:BQ,30,0)</f>
        <v>#N/A</v>
      </c>
      <c r="AH102" s="260" t="e">
        <f ca="1">VLOOKUP($D102,모델정보데이터!AM:BQ,31,0)</f>
        <v>#N/A</v>
      </c>
      <c r="AI102" s="260" t="e">
        <f ca="1">VLOOKUP($D102,모델정보데이터!AM:BQ,19,0)</f>
        <v>#N/A</v>
      </c>
      <c r="AJ102" s="69" t="e">
        <f ca="1">VLOOKUP($D102,모델정보데이터!AM:BQ,21,0)</f>
        <v>#N/A</v>
      </c>
      <c r="AK102" s="69" t="e">
        <f ca="1">VLOOKUP($D102,모델정보데이터!AM:BQ,22,0)</f>
        <v>#N/A</v>
      </c>
      <c r="AL102" s="69" t="e">
        <f ca="1">VLOOKUP($D102,모델정보데이터!AM:BQ,20,0)</f>
        <v>#N/A</v>
      </c>
      <c r="AM102" s="69" t="e">
        <f ca="1">VLOOKUP($D102,모델정보데이터!AM:BQ,23,0)</f>
        <v>#N/A</v>
      </c>
    </row>
    <row r="103" spans="2:39">
      <c r="C103" s="1896"/>
      <c r="D103" s="258"/>
      <c r="G103" s="69"/>
      <c r="O103" s="259" t="e">
        <f>VLOOKUP($D103,모델정보데이터!$AM$4:$BQ$398,3,0)</f>
        <v>#N/A</v>
      </c>
      <c r="P103" s="582" t="e">
        <f>VLOOKUP($D103,모델정보데이터!$AM$4:$BQ$398,4,0)</f>
        <v>#N/A</v>
      </c>
      <c r="Q103" s="582" t="e">
        <f>VLOOKUP($D103,모델정보데이터!$AM$4:$BQ$398,5,0)</f>
        <v>#N/A</v>
      </c>
      <c r="R103" s="582" t="e">
        <f>VLOOKUP($D103,모델정보데이터!$AM$4:$BQ$398,6,0)</f>
        <v>#N/A</v>
      </c>
      <c r="S103" s="582" t="e">
        <f>VLOOKUP($D103,모델정보데이터!$AM$4:$BQ$398,7,0)</f>
        <v>#N/A</v>
      </c>
      <c r="T103" s="582" t="e">
        <f>VLOOKUP($D103,모델정보데이터!$AM$4:$BQ$398,15,0)</f>
        <v>#N/A</v>
      </c>
      <c r="U103" s="582" t="e">
        <f>VLOOKUP($D103,모델정보데이터!$AM$4:$BQ$398,16,0)</f>
        <v>#N/A</v>
      </c>
      <c r="V103" s="582" t="e">
        <f>VLOOKUP($D103,모델정보데이터!$AM$4:$BQ$398,8,0)</f>
        <v>#N/A</v>
      </c>
      <c r="W103" s="582" t="e">
        <f>VLOOKUP($D103,모델정보데이터!$AM$4:$BQ$398,9,0)</f>
        <v>#N/A</v>
      </c>
      <c r="X103" s="582" t="e">
        <f>VLOOKUP($D103,모델정보데이터!$AM$4:$BM$278,27,0)</f>
        <v>#N/A</v>
      </c>
      <c r="Y103" s="582" t="e">
        <f>VLOOKUP($D103,모델정보데이터!$AM$4:$BQ$398,11,0)</f>
        <v>#N/A</v>
      </c>
      <c r="Z103" s="582" t="e">
        <f>VLOOKUP($D103,모델정보데이터!$AM$4:$BQ$398,18,0)</f>
        <v>#N/A</v>
      </c>
      <c r="AA103" s="582" t="e">
        <f>VLOOKUP($D103,모델정보데이터!$AM$4:$BQ$398,12,0)</f>
        <v>#N/A</v>
      </c>
      <c r="AB103" s="583" t="e">
        <f>VLOOKUP($D103,모델정보데이터!$AM$4:$BQ$398,13,0)</f>
        <v>#N/A</v>
      </c>
      <c r="AC103" s="582" t="e">
        <f>VLOOKUP($D103,모델정보데이터!$AM$4:$BQ$398,17,0)</f>
        <v>#N/A</v>
      </c>
      <c r="AD103" s="582" t="e">
        <f>VLOOKUP($D103,모델정보데이터!$AM$4:$BQ$398,10,0)</f>
        <v>#N/A</v>
      </c>
      <c r="AE103" s="582">
        <f>IFERROR(VLOOKUP(D103,모델정보데이터!$AM$3:$BD$278,27,0),0)</f>
        <v>0</v>
      </c>
      <c r="AF103" s="1134" t="e">
        <f>VLOOKUP($D103,모델정보데이터!$AM$4:$BQ$398,14,0)</f>
        <v>#N/A</v>
      </c>
      <c r="AG103" s="260" t="e">
        <f>VLOOKUP($D103,모델정보데이터!AM:BQ,30,0)</f>
        <v>#N/A</v>
      </c>
      <c r="AH103" s="260" t="e">
        <f>VLOOKUP($D103,모델정보데이터!AM:BQ,31,0)</f>
        <v>#N/A</v>
      </c>
      <c r="AI103" s="260" t="e">
        <f>VLOOKUP($D103,모델정보데이터!AM:BQ,19,0)</f>
        <v>#N/A</v>
      </c>
      <c r="AJ103" s="69" t="e">
        <f>VLOOKUP($D103,모델정보데이터!AM:BQ,21,0)</f>
        <v>#N/A</v>
      </c>
      <c r="AK103" s="69" t="e">
        <f>VLOOKUP($D103,모델정보데이터!AM:BQ,22,0)</f>
        <v>#N/A</v>
      </c>
      <c r="AL103" s="69" t="e">
        <f>VLOOKUP($D103,모델정보데이터!AM:BQ,20,0)</f>
        <v>#N/A</v>
      </c>
      <c r="AM103" s="69" t="e">
        <f>VLOOKUP($D103,모델정보데이터!AM:BQ,23,0)</f>
        <v>#N/A</v>
      </c>
    </row>
    <row r="104" spans="2:39">
      <c r="C104" s="1896"/>
      <c r="D104" s="258"/>
      <c r="G104" s="69"/>
      <c r="O104" s="259" t="e">
        <f>VLOOKUP($D104,모델정보데이터!$AM$4:$BQ$398,3,0)</f>
        <v>#N/A</v>
      </c>
      <c r="P104" s="582" t="e">
        <f>VLOOKUP($D104,모델정보데이터!$AM$4:$BQ$398,4,0)</f>
        <v>#N/A</v>
      </c>
      <c r="Q104" s="582" t="e">
        <f>VLOOKUP($D104,모델정보데이터!$AM$4:$BQ$398,5,0)</f>
        <v>#N/A</v>
      </c>
      <c r="R104" s="582" t="e">
        <f>VLOOKUP($D104,모델정보데이터!$AM$4:$BQ$398,6,0)</f>
        <v>#N/A</v>
      </c>
      <c r="S104" s="582" t="e">
        <f>VLOOKUP($D104,모델정보데이터!$AM$4:$BQ$398,7,0)</f>
        <v>#N/A</v>
      </c>
      <c r="T104" s="582" t="e">
        <f>VLOOKUP($D104,모델정보데이터!$AM$4:$BQ$398,15,0)</f>
        <v>#N/A</v>
      </c>
      <c r="U104" s="582" t="e">
        <f>VLOOKUP($D104,모델정보데이터!$AM$4:$BQ$398,16,0)</f>
        <v>#N/A</v>
      </c>
      <c r="V104" s="582" t="e">
        <f>VLOOKUP($D104,모델정보데이터!$AM$4:$BQ$398,8,0)</f>
        <v>#N/A</v>
      </c>
      <c r="W104" s="582" t="e">
        <f>VLOOKUP($D104,모델정보데이터!$AM$4:$BQ$398,9,0)</f>
        <v>#N/A</v>
      </c>
      <c r="X104" s="582" t="e">
        <f>VLOOKUP($D104,모델정보데이터!$AM$4:$BM$278,27,0)</f>
        <v>#N/A</v>
      </c>
      <c r="Y104" s="582" t="e">
        <f>VLOOKUP($D104,모델정보데이터!$AM$4:$BQ$398,11,0)</f>
        <v>#N/A</v>
      </c>
      <c r="Z104" s="582" t="e">
        <f>VLOOKUP($D104,모델정보데이터!$AM$4:$BQ$398,18,0)</f>
        <v>#N/A</v>
      </c>
      <c r="AA104" s="582" t="e">
        <f>VLOOKUP($D104,모델정보데이터!$AM$4:$BQ$398,12,0)</f>
        <v>#N/A</v>
      </c>
      <c r="AB104" s="583" t="e">
        <f>VLOOKUP($D104,모델정보데이터!$AM$4:$BQ$398,13,0)</f>
        <v>#N/A</v>
      </c>
      <c r="AC104" s="582" t="e">
        <f>VLOOKUP($D104,모델정보데이터!$AM$4:$BQ$398,17,0)</f>
        <v>#N/A</v>
      </c>
      <c r="AD104" s="582" t="e">
        <f>VLOOKUP($D104,모델정보데이터!$AM$4:$BQ$398,10,0)</f>
        <v>#N/A</v>
      </c>
      <c r="AE104" s="582">
        <f>IFERROR(VLOOKUP(D104,모델정보데이터!$AM$3:$BD$278,27,0),0)</f>
        <v>0</v>
      </c>
      <c r="AF104" s="1134" t="e">
        <f>VLOOKUP($D104,모델정보데이터!$AM$4:$BQ$398,14,0)</f>
        <v>#N/A</v>
      </c>
      <c r="AG104" s="260" t="e">
        <f>VLOOKUP($D104,모델정보데이터!AM:BQ,30,0)</f>
        <v>#N/A</v>
      </c>
      <c r="AH104" s="260" t="e">
        <f>VLOOKUP($D104,모델정보데이터!AM:BQ,31,0)</f>
        <v>#N/A</v>
      </c>
      <c r="AI104" s="260" t="e">
        <f>VLOOKUP($D104,모델정보데이터!AM:BQ,19,0)</f>
        <v>#N/A</v>
      </c>
      <c r="AJ104" s="69" t="e">
        <f>VLOOKUP($D104,모델정보데이터!AM:BQ,21,0)</f>
        <v>#N/A</v>
      </c>
      <c r="AK104" s="69" t="e">
        <f>VLOOKUP($D104,모델정보데이터!AM:BQ,22,0)</f>
        <v>#N/A</v>
      </c>
      <c r="AL104" s="69" t="e">
        <f>VLOOKUP($D104,모델정보데이터!AM:BQ,20,0)</f>
        <v>#N/A</v>
      </c>
      <c r="AM104" s="69" t="e">
        <f>VLOOKUP($D104,모델정보데이터!AM:BQ,23,0)</f>
        <v>#N/A</v>
      </c>
    </row>
    <row r="105" spans="2:39">
      <c r="C105" s="1896"/>
      <c r="D105" s="258"/>
      <c r="G105" s="69"/>
      <c r="O105" s="259" t="e">
        <f>VLOOKUP($D105,모델정보데이터!$AM$4:$BQ$398,3,0)</f>
        <v>#N/A</v>
      </c>
      <c r="P105" s="582" t="e">
        <f>VLOOKUP($D105,모델정보데이터!$AM$4:$BQ$398,4,0)</f>
        <v>#N/A</v>
      </c>
      <c r="Q105" s="582" t="e">
        <f>VLOOKUP($D105,모델정보데이터!$AM$4:$BQ$398,5,0)</f>
        <v>#N/A</v>
      </c>
      <c r="R105" s="582" t="e">
        <f>VLOOKUP($D105,모델정보데이터!$AM$4:$BQ$398,6,0)</f>
        <v>#N/A</v>
      </c>
      <c r="S105" s="582" t="e">
        <f>VLOOKUP($D105,모델정보데이터!$AM$4:$BQ$398,7,0)</f>
        <v>#N/A</v>
      </c>
      <c r="T105" s="582" t="e">
        <f>VLOOKUP($D105,모델정보데이터!$AM$4:$BQ$398,15,0)</f>
        <v>#N/A</v>
      </c>
      <c r="U105" s="582" t="e">
        <f>VLOOKUP($D105,모델정보데이터!$AM$4:$BQ$398,16,0)</f>
        <v>#N/A</v>
      </c>
      <c r="V105" s="582" t="e">
        <f>VLOOKUP($D105,모델정보데이터!$AM$4:$BQ$398,8,0)</f>
        <v>#N/A</v>
      </c>
      <c r="W105" s="582" t="e">
        <f>VLOOKUP($D105,모델정보데이터!$AM$4:$BQ$398,9,0)</f>
        <v>#N/A</v>
      </c>
      <c r="X105" s="582" t="e">
        <f>VLOOKUP($D105,모델정보데이터!$AM$4:$BM$278,27,0)</f>
        <v>#N/A</v>
      </c>
      <c r="Y105" s="582" t="e">
        <f>VLOOKUP($D105,모델정보데이터!$AM$4:$BQ$398,11,0)</f>
        <v>#N/A</v>
      </c>
      <c r="Z105" s="582" t="e">
        <f>VLOOKUP($D105,모델정보데이터!$AM$4:$BQ$398,18,0)</f>
        <v>#N/A</v>
      </c>
      <c r="AA105" s="582" t="e">
        <f>VLOOKUP($D105,모델정보데이터!$AM$4:$BQ$398,12,0)</f>
        <v>#N/A</v>
      </c>
      <c r="AB105" s="583" t="e">
        <f>VLOOKUP($D105,모델정보데이터!$AM$4:$BQ$398,13,0)</f>
        <v>#N/A</v>
      </c>
      <c r="AC105" s="582" t="e">
        <f>VLOOKUP($D105,모델정보데이터!$AM$4:$BQ$398,17,0)</f>
        <v>#N/A</v>
      </c>
      <c r="AD105" s="582" t="e">
        <f>VLOOKUP($D105,모델정보데이터!$AM$4:$BQ$398,10,0)</f>
        <v>#N/A</v>
      </c>
      <c r="AE105" s="582">
        <f>IFERROR(VLOOKUP(D105,모델정보데이터!$AM$3:$BD$278,27,0),0)</f>
        <v>0</v>
      </c>
      <c r="AF105" s="1134" t="e">
        <f>VLOOKUP($D105,모델정보데이터!$AM$4:$BQ$398,14,0)</f>
        <v>#N/A</v>
      </c>
      <c r="AG105" s="260" t="e">
        <f>VLOOKUP($D105,모델정보데이터!AM:BQ,30,0)</f>
        <v>#N/A</v>
      </c>
      <c r="AH105" s="260" t="e">
        <f>VLOOKUP($D105,모델정보데이터!AM:BQ,31,0)</f>
        <v>#N/A</v>
      </c>
      <c r="AI105" s="260" t="e">
        <f>VLOOKUP($D105,모델정보데이터!AM:BQ,19,0)</f>
        <v>#N/A</v>
      </c>
      <c r="AJ105" s="69" t="e">
        <f>VLOOKUP($D105,모델정보데이터!AM:BQ,21,0)</f>
        <v>#N/A</v>
      </c>
      <c r="AK105" s="69" t="e">
        <f>VLOOKUP($D105,모델정보데이터!AM:BQ,22,0)</f>
        <v>#N/A</v>
      </c>
      <c r="AL105" s="69" t="e">
        <f>VLOOKUP($D105,모델정보데이터!AM:BQ,20,0)</f>
        <v>#N/A</v>
      </c>
      <c r="AM105" s="69" t="e">
        <f>VLOOKUP($D105,모델정보데이터!AM:BQ,23,0)</f>
        <v>#N/A</v>
      </c>
    </row>
    <row r="106" spans="2:39">
      <c r="C106" s="487"/>
      <c r="D106" s="258"/>
      <c r="G106" s="69"/>
      <c r="L106" s="276"/>
      <c r="O106" s="259" t="e">
        <f>VLOOKUP($D106,모델정보데이터!$AM$4:$BQ$398,3,0)</f>
        <v>#N/A</v>
      </c>
      <c r="P106" s="582" t="e">
        <f>VLOOKUP($D106,모델정보데이터!$AM$4:$BQ$398,4,0)</f>
        <v>#N/A</v>
      </c>
      <c r="Q106" s="582" t="e">
        <f>VLOOKUP($D106,모델정보데이터!$AM$4:$BQ$398,5,0)</f>
        <v>#N/A</v>
      </c>
      <c r="R106" s="582" t="e">
        <f>VLOOKUP($D106,모델정보데이터!$AM$4:$BQ$398,6,0)</f>
        <v>#N/A</v>
      </c>
      <c r="S106" s="582" t="e">
        <f>VLOOKUP($D106,모델정보데이터!$AM$4:$BQ$398,7,0)</f>
        <v>#N/A</v>
      </c>
      <c r="T106" s="582" t="e">
        <f>VLOOKUP($D106,모델정보데이터!$AM$4:$BQ$398,15,0)</f>
        <v>#N/A</v>
      </c>
      <c r="U106" s="582" t="e">
        <f>VLOOKUP($D106,모델정보데이터!$AM$4:$BQ$398,16,0)</f>
        <v>#N/A</v>
      </c>
      <c r="V106" s="582" t="e">
        <f>VLOOKUP($D106,모델정보데이터!$AM$4:$BQ$398,8,0)</f>
        <v>#N/A</v>
      </c>
      <c r="W106" s="582" t="e">
        <f>VLOOKUP($D106,모델정보데이터!$AM$4:$BQ$398,9,0)</f>
        <v>#N/A</v>
      </c>
      <c r="X106" s="582" t="e">
        <f>VLOOKUP($D106,모델정보데이터!$AM$4:$BM$278,27,0)</f>
        <v>#N/A</v>
      </c>
      <c r="Y106" s="582" t="e">
        <f>VLOOKUP($D106,모델정보데이터!$AM$4:$BQ$398,11,0)</f>
        <v>#N/A</v>
      </c>
      <c r="Z106" s="582" t="e">
        <f>VLOOKUP($D106,모델정보데이터!$AM$4:$BQ$398,18,0)</f>
        <v>#N/A</v>
      </c>
      <c r="AA106" s="582" t="e">
        <f>VLOOKUP($D106,모델정보데이터!$AM$4:$BQ$398,12,0)</f>
        <v>#N/A</v>
      </c>
      <c r="AB106" s="583" t="e">
        <f>VLOOKUP($D106,모델정보데이터!$AM$4:$BQ$398,13,0)</f>
        <v>#N/A</v>
      </c>
      <c r="AC106" s="582" t="e">
        <f>VLOOKUP($D106,모델정보데이터!$AM$4:$BQ$398,17,0)</f>
        <v>#N/A</v>
      </c>
      <c r="AD106" s="582" t="e">
        <f>VLOOKUP($D106,모델정보데이터!$AM$4:$BQ$398,10,0)</f>
        <v>#N/A</v>
      </c>
      <c r="AE106" s="582">
        <f>IFERROR(VLOOKUP(D106,모델정보데이터!$AM$3:$BD$278,27,0),0)</f>
        <v>0</v>
      </c>
      <c r="AF106" s="1134" t="e">
        <f>VLOOKUP($D106,모델정보데이터!$AM$4:$BQ$398,14,0)</f>
        <v>#N/A</v>
      </c>
      <c r="AG106" s="260" t="e">
        <f>VLOOKUP($D106,모델정보데이터!AM:BQ,30,0)</f>
        <v>#N/A</v>
      </c>
      <c r="AH106" s="260" t="e">
        <f>VLOOKUP($D106,모델정보데이터!AM:BQ,31,0)</f>
        <v>#N/A</v>
      </c>
      <c r="AI106" s="260" t="e">
        <f>VLOOKUP($D106,모델정보데이터!AM:BQ,19,0)</f>
        <v>#N/A</v>
      </c>
      <c r="AJ106" s="69" t="e">
        <f>VLOOKUP($D106,모델정보데이터!AM:BQ,21,0)</f>
        <v>#N/A</v>
      </c>
      <c r="AK106" s="69" t="e">
        <f>VLOOKUP($D106,모델정보데이터!AM:BQ,22,0)</f>
        <v>#N/A</v>
      </c>
      <c r="AL106" s="69" t="e">
        <f>VLOOKUP($D106,모델정보데이터!AM:BQ,20,0)</f>
        <v>#N/A</v>
      </c>
      <c r="AM106" s="69" t="e">
        <f>VLOOKUP($D106,모델정보데이터!AM:BQ,23,0)</f>
        <v>#N/A</v>
      </c>
    </row>
    <row r="107" spans="2:39">
      <c r="C107" s="487"/>
      <c r="D107" s="258"/>
      <c r="G107" s="69"/>
      <c r="L107" s="276"/>
      <c r="O107" s="259" t="e">
        <f>VLOOKUP($D107,모델정보데이터!$AM$4:$BQ$398,3,0)</f>
        <v>#N/A</v>
      </c>
      <c r="P107" s="582" t="e">
        <f>VLOOKUP($D107,모델정보데이터!$AM$4:$BQ$398,4,0)</f>
        <v>#N/A</v>
      </c>
      <c r="Q107" s="582" t="e">
        <f>VLOOKUP($D107,모델정보데이터!$AM$4:$BQ$398,5,0)</f>
        <v>#N/A</v>
      </c>
      <c r="R107" s="582" t="e">
        <f>VLOOKUP($D107,모델정보데이터!$AM$4:$BQ$398,6,0)</f>
        <v>#N/A</v>
      </c>
      <c r="S107" s="582" t="e">
        <f>VLOOKUP($D107,모델정보데이터!$AM$4:$BQ$398,7,0)</f>
        <v>#N/A</v>
      </c>
      <c r="T107" s="582" t="e">
        <f>VLOOKUP($D107,모델정보데이터!$AM$4:$BQ$398,15,0)</f>
        <v>#N/A</v>
      </c>
      <c r="U107" s="582" t="e">
        <f>VLOOKUP($D107,모델정보데이터!$AM$4:$BQ$398,16,0)</f>
        <v>#N/A</v>
      </c>
      <c r="V107" s="582" t="e">
        <f>VLOOKUP($D107,모델정보데이터!$AM$4:$BQ$398,8,0)</f>
        <v>#N/A</v>
      </c>
      <c r="W107" s="582" t="e">
        <f>VLOOKUP($D107,모델정보데이터!$AM$4:$BQ$398,9,0)</f>
        <v>#N/A</v>
      </c>
      <c r="X107" s="582" t="e">
        <f>VLOOKUP($D107,모델정보데이터!$AM$4:$BM$278,27,0)</f>
        <v>#N/A</v>
      </c>
      <c r="Y107" s="582" t="e">
        <f>VLOOKUP($D107,모델정보데이터!$AM$4:$BQ$398,11,0)</f>
        <v>#N/A</v>
      </c>
      <c r="Z107" s="582" t="e">
        <f>VLOOKUP($D107,모델정보데이터!$AM$4:$BQ$398,18,0)</f>
        <v>#N/A</v>
      </c>
      <c r="AA107" s="582" t="e">
        <f>VLOOKUP($D107,모델정보데이터!$AM$4:$BQ$398,12,0)</f>
        <v>#N/A</v>
      </c>
      <c r="AB107" s="583" t="e">
        <f>VLOOKUP($D107,모델정보데이터!$AM$4:$BQ$398,13,0)</f>
        <v>#N/A</v>
      </c>
      <c r="AC107" s="582" t="e">
        <f>VLOOKUP($D107,모델정보데이터!$AM$4:$BQ$398,17,0)</f>
        <v>#N/A</v>
      </c>
      <c r="AD107" s="582" t="e">
        <f>VLOOKUP($D107,모델정보데이터!$AM$4:$BQ$398,10,0)</f>
        <v>#N/A</v>
      </c>
      <c r="AE107" s="582">
        <f>IFERROR(VLOOKUP(D107,모델정보데이터!$AM$3:$BD$278,27,0),0)</f>
        <v>0</v>
      </c>
      <c r="AF107" s="1134" t="e">
        <f>VLOOKUP($D107,모델정보데이터!$AM$4:$BQ$398,14,0)</f>
        <v>#N/A</v>
      </c>
      <c r="AG107" s="260" t="e">
        <f>VLOOKUP($D107,모델정보데이터!AM:BQ,30,0)</f>
        <v>#N/A</v>
      </c>
      <c r="AH107" s="260" t="e">
        <f>VLOOKUP($D107,모델정보데이터!AM:BQ,31,0)</f>
        <v>#N/A</v>
      </c>
      <c r="AI107" s="260" t="e">
        <f>VLOOKUP($D107,모델정보데이터!AM:BQ,19,0)</f>
        <v>#N/A</v>
      </c>
      <c r="AJ107" s="69" t="e">
        <f>VLOOKUP($D107,모델정보데이터!AM:BQ,21,0)</f>
        <v>#N/A</v>
      </c>
      <c r="AK107" s="69" t="e">
        <f>VLOOKUP($D107,모델정보데이터!AM:BQ,22,0)</f>
        <v>#N/A</v>
      </c>
      <c r="AL107" s="69" t="e">
        <f>VLOOKUP($D107,모델정보데이터!AM:BQ,20,0)</f>
        <v>#N/A</v>
      </c>
      <c r="AM107" s="69" t="e">
        <f>VLOOKUP($D107,모델정보데이터!AM:BQ,23,0)</f>
        <v>#N/A</v>
      </c>
    </row>
    <row r="108" spans="2:39">
      <c r="C108" s="487"/>
      <c r="D108" s="258"/>
      <c r="G108" s="69"/>
      <c r="L108" s="276"/>
      <c r="O108" s="259" t="e">
        <f>VLOOKUP($D108,모델정보데이터!$AM$4:$BQ$398,3,0)</f>
        <v>#N/A</v>
      </c>
      <c r="P108" s="582" t="e">
        <f>VLOOKUP($D108,모델정보데이터!$AM$4:$BQ$398,4,0)</f>
        <v>#N/A</v>
      </c>
      <c r="Q108" s="582" t="e">
        <f>VLOOKUP($D108,모델정보데이터!$AM$4:$BQ$398,5,0)</f>
        <v>#N/A</v>
      </c>
      <c r="R108" s="582" t="e">
        <f>VLOOKUP($D108,모델정보데이터!$AM$4:$BQ$398,6,0)</f>
        <v>#N/A</v>
      </c>
      <c r="S108" s="582" t="e">
        <f>VLOOKUP($D108,모델정보데이터!$AM$4:$BQ$398,7,0)</f>
        <v>#N/A</v>
      </c>
      <c r="T108" s="582" t="e">
        <f>VLOOKUP($D108,모델정보데이터!$AM$4:$BQ$398,15,0)</f>
        <v>#N/A</v>
      </c>
      <c r="U108" s="582" t="e">
        <f>VLOOKUP($D108,모델정보데이터!$AM$4:$BQ$398,16,0)</f>
        <v>#N/A</v>
      </c>
      <c r="V108" s="582" t="e">
        <f>VLOOKUP($D108,모델정보데이터!$AM$4:$BQ$398,8,0)</f>
        <v>#N/A</v>
      </c>
      <c r="W108" s="582" t="e">
        <f>VLOOKUP($D108,모델정보데이터!$AM$4:$BQ$398,9,0)</f>
        <v>#N/A</v>
      </c>
      <c r="X108" s="582" t="e">
        <f>VLOOKUP($D108,모델정보데이터!$AM$4:$BM$278,27,0)</f>
        <v>#N/A</v>
      </c>
      <c r="Y108" s="582" t="e">
        <f>VLOOKUP($D108,모델정보데이터!$AM$4:$BQ$398,11,0)</f>
        <v>#N/A</v>
      </c>
      <c r="Z108" s="582" t="e">
        <f>VLOOKUP($D108,모델정보데이터!$AM$4:$BQ$398,18,0)</f>
        <v>#N/A</v>
      </c>
      <c r="AA108" s="582" t="e">
        <f>VLOOKUP($D108,모델정보데이터!$AM$4:$BQ$398,12,0)</f>
        <v>#N/A</v>
      </c>
      <c r="AB108" s="583" t="e">
        <f>VLOOKUP($D108,모델정보데이터!$AM$4:$BQ$398,13,0)</f>
        <v>#N/A</v>
      </c>
      <c r="AC108" s="582" t="e">
        <f>VLOOKUP($D108,모델정보데이터!$AM$4:$BQ$398,17,0)</f>
        <v>#N/A</v>
      </c>
      <c r="AD108" s="582" t="e">
        <f>VLOOKUP($D108,모델정보데이터!$AM$4:$BQ$398,10,0)</f>
        <v>#N/A</v>
      </c>
      <c r="AE108" s="582">
        <f>IFERROR(VLOOKUP(D108,모델정보데이터!$AM$3:$BD$278,27,0),0)</f>
        <v>0</v>
      </c>
      <c r="AF108" s="1134" t="e">
        <f>VLOOKUP($D108,모델정보데이터!$AM$4:$BQ$398,14,0)</f>
        <v>#N/A</v>
      </c>
      <c r="AG108" s="260" t="e">
        <f>VLOOKUP($D108,모델정보데이터!AM:BQ,30,0)</f>
        <v>#N/A</v>
      </c>
      <c r="AH108" s="260" t="e">
        <f>VLOOKUP($D108,모델정보데이터!AM:BQ,31,0)</f>
        <v>#N/A</v>
      </c>
      <c r="AI108" s="260" t="e">
        <f>VLOOKUP($D108,모델정보데이터!AM:BQ,19,0)</f>
        <v>#N/A</v>
      </c>
      <c r="AJ108" s="69" t="e">
        <f>VLOOKUP($D108,모델정보데이터!AM:BQ,21,0)</f>
        <v>#N/A</v>
      </c>
      <c r="AK108" s="69" t="e">
        <f>VLOOKUP($D108,모델정보데이터!AM:BQ,22,0)</f>
        <v>#N/A</v>
      </c>
      <c r="AL108" s="69" t="e">
        <f>VLOOKUP($D108,모델정보데이터!AM:BQ,20,0)</f>
        <v>#N/A</v>
      </c>
      <c r="AM108" s="69" t="e">
        <f>VLOOKUP($D108,모델정보데이터!AM:BQ,23,0)</f>
        <v>#N/A</v>
      </c>
    </row>
    <row r="109" spans="2:39">
      <c r="C109" s="487"/>
      <c r="D109" s="258"/>
      <c r="G109" s="69"/>
      <c r="L109" s="276"/>
      <c r="O109" s="259" t="e">
        <f>VLOOKUP($D109,모델정보데이터!$AM$4:$BQ$398,3,0)</f>
        <v>#N/A</v>
      </c>
      <c r="P109" s="582" t="e">
        <f>VLOOKUP($D109,모델정보데이터!$AM$4:$BQ$398,4,0)</f>
        <v>#N/A</v>
      </c>
      <c r="Q109" s="582" t="e">
        <f>VLOOKUP($D109,모델정보데이터!$AM$4:$BQ$398,5,0)</f>
        <v>#N/A</v>
      </c>
      <c r="R109" s="582" t="e">
        <f>VLOOKUP($D109,모델정보데이터!$AM$4:$BQ$398,6,0)</f>
        <v>#N/A</v>
      </c>
      <c r="S109" s="582" t="e">
        <f>VLOOKUP($D109,모델정보데이터!$AM$4:$BQ$398,7,0)</f>
        <v>#N/A</v>
      </c>
      <c r="T109" s="582" t="e">
        <f>VLOOKUP($D109,모델정보데이터!$AM$4:$BQ$398,15,0)</f>
        <v>#N/A</v>
      </c>
      <c r="U109" s="582" t="e">
        <f>VLOOKUP($D109,모델정보데이터!$AM$4:$BQ$398,16,0)</f>
        <v>#N/A</v>
      </c>
      <c r="V109" s="582" t="e">
        <f>VLOOKUP($D109,모델정보데이터!$AM$4:$BQ$398,8,0)</f>
        <v>#N/A</v>
      </c>
      <c r="W109" s="582" t="e">
        <f>VLOOKUP($D109,모델정보데이터!$AM$4:$BQ$398,9,0)</f>
        <v>#N/A</v>
      </c>
      <c r="X109" s="582" t="e">
        <f>VLOOKUP($D109,모델정보데이터!$AM$4:$BM$278,27,0)</f>
        <v>#N/A</v>
      </c>
      <c r="Y109" s="582" t="e">
        <f>VLOOKUP($D109,모델정보데이터!$AM$4:$BQ$398,11,0)</f>
        <v>#N/A</v>
      </c>
      <c r="Z109" s="582" t="e">
        <f>VLOOKUP($D109,모델정보데이터!$AM$4:$BQ$398,18,0)</f>
        <v>#N/A</v>
      </c>
      <c r="AA109" s="582" t="e">
        <f>VLOOKUP($D109,모델정보데이터!$AM$4:$BQ$398,12,0)</f>
        <v>#N/A</v>
      </c>
      <c r="AB109" s="583" t="e">
        <f>VLOOKUP($D109,모델정보데이터!$AM$4:$BQ$398,13,0)</f>
        <v>#N/A</v>
      </c>
      <c r="AC109" s="582" t="e">
        <f>VLOOKUP($D109,모델정보데이터!$AM$4:$BQ$398,17,0)</f>
        <v>#N/A</v>
      </c>
      <c r="AD109" s="582" t="e">
        <f>VLOOKUP($D109,모델정보데이터!$AM$4:$BQ$398,10,0)</f>
        <v>#N/A</v>
      </c>
      <c r="AE109" s="582">
        <f>IFERROR(VLOOKUP(D109,모델정보데이터!$AM$3:$BD$278,27,0),0)</f>
        <v>0</v>
      </c>
      <c r="AF109" s="1134" t="e">
        <f>VLOOKUP($D109,모델정보데이터!$AM$4:$BQ$398,14,0)</f>
        <v>#N/A</v>
      </c>
      <c r="AG109" s="260" t="e">
        <f>VLOOKUP($D109,모델정보데이터!AM:BQ,30,0)</f>
        <v>#N/A</v>
      </c>
      <c r="AH109" s="260" t="e">
        <f>VLOOKUP($D109,모델정보데이터!AM:BQ,31,0)</f>
        <v>#N/A</v>
      </c>
      <c r="AI109" s="260" t="e">
        <f>VLOOKUP($D109,모델정보데이터!AM:BQ,19,0)</f>
        <v>#N/A</v>
      </c>
      <c r="AJ109" s="69" t="e">
        <f>VLOOKUP($D109,모델정보데이터!AM:BQ,21,0)</f>
        <v>#N/A</v>
      </c>
      <c r="AK109" s="69" t="e">
        <f>VLOOKUP($D109,모델정보데이터!AM:BQ,22,0)</f>
        <v>#N/A</v>
      </c>
      <c r="AL109" s="69" t="e">
        <f>VLOOKUP($D109,모델정보데이터!AM:BQ,20,0)</f>
        <v>#N/A</v>
      </c>
      <c r="AM109" s="69" t="e">
        <f>VLOOKUP($D109,모델정보데이터!AM:BQ,23,0)</f>
        <v>#N/A</v>
      </c>
    </row>
    <row r="110" spans="2:39">
      <c r="C110" s="487"/>
      <c r="D110" s="258"/>
      <c r="G110" s="69"/>
      <c r="L110" s="276"/>
      <c r="O110" s="259" t="e">
        <f>VLOOKUP($D110,모델정보데이터!$AM$4:$BQ$398,3,0)</f>
        <v>#N/A</v>
      </c>
      <c r="P110" s="582" t="e">
        <f>VLOOKUP($D110,모델정보데이터!$AM$4:$BQ$398,4,0)</f>
        <v>#N/A</v>
      </c>
      <c r="Q110" s="582" t="e">
        <f>VLOOKUP($D110,모델정보데이터!$AM$4:$BQ$398,5,0)</f>
        <v>#N/A</v>
      </c>
      <c r="R110" s="582" t="e">
        <f>VLOOKUP($D110,모델정보데이터!$AM$4:$BQ$398,6,0)</f>
        <v>#N/A</v>
      </c>
      <c r="S110" s="582" t="e">
        <f>VLOOKUP($D110,모델정보데이터!$AM$4:$BQ$398,7,0)</f>
        <v>#N/A</v>
      </c>
      <c r="T110" s="582" t="e">
        <f>VLOOKUP($D110,모델정보데이터!$AM$4:$BQ$398,15,0)</f>
        <v>#N/A</v>
      </c>
      <c r="U110" s="582" t="e">
        <f>VLOOKUP($D110,모델정보데이터!$AM$4:$BQ$398,16,0)</f>
        <v>#N/A</v>
      </c>
      <c r="V110" s="582" t="e">
        <f>VLOOKUP($D110,모델정보데이터!$AM$4:$BQ$398,8,0)</f>
        <v>#N/A</v>
      </c>
      <c r="W110" s="582" t="e">
        <f>VLOOKUP($D110,모델정보데이터!$AM$4:$BQ$398,9,0)</f>
        <v>#N/A</v>
      </c>
      <c r="X110" s="582" t="e">
        <f>VLOOKUP($D110,모델정보데이터!$AM$4:$BM$278,27,0)</f>
        <v>#N/A</v>
      </c>
      <c r="Y110" s="582" t="e">
        <f>VLOOKUP($D110,모델정보데이터!$AM$4:$BQ$398,11,0)</f>
        <v>#N/A</v>
      </c>
      <c r="Z110" s="582" t="e">
        <f>VLOOKUP($D110,모델정보데이터!$AM$4:$BQ$398,18,0)</f>
        <v>#N/A</v>
      </c>
      <c r="AA110" s="582" t="e">
        <f>VLOOKUP($D110,모델정보데이터!$AM$4:$BQ$398,12,0)</f>
        <v>#N/A</v>
      </c>
      <c r="AB110" s="583" t="e">
        <f>VLOOKUP($D110,모델정보데이터!$AM$4:$BQ$398,13,0)</f>
        <v>#N/A</v>
      </c>
      <c r="AC110" s="582" t="e">
        <f>VLOOKUP($D110,모델정보데이터!$AM$4:$BQ$398,17,0)</f>
        <v>#N/A</v>
      </c>
      <c r="AD110" s="582" t="e">
        <f>VLOOKUP($D110,모델정보데이터!$AM$4:$BQ$398,10,0)</f>
        <v>#N/A</v>
      </c>
      <c r="AE110" s="582">
        <f>IFERROR(VLOOKUP(D110,모델정보데이터!$AM$3:$BD$278,27,0),0)</f>
        <v>0</v>
      </c>
      <c r="AF110" s="1134" t="e">
        <f>VLOOKUP($D110,모델정보데이터!$AM$4:$BQ$398,14,0)</f>
        <v>#N/A</v>
      </c>
      <c r="AG110" s="260" t="e">
        <f>VLOOKUP($D110,모델정보데이터!AM:BQ,30,0)</f>
        <v>#N/A</v>
      </c>
      <c r="AH110" s="260" t="e">
        <f>VLOOKUP($D110,모델정보데이터!AM:BQ,31,0)</f>
        <v>#N/A</v>
      </c>
      <c r="AI110" s="260" t="e">
        <f>VLOOKUP($D110,모델정보데이터!AM:BQ,19,0)</f>
        <v>#N/A</v>
      </c>
      <c r="AJ110" s="69" t="e">
        <f>VLOOKUP($D110,모델정보데이터!AM:BQ,21,0)</f>
        <v>#N/A</v>
      </c>
      <c r="AK110" s="69" t="e">
        <f>VLOOKUP($D110,모델정보데이터!AM:BQ,22,0)</f>
        <v>#N/A</v>
      </c>
      <c r="AL110" s="69" t="e">
        <f>VLOOKUP($D110,모델정보데이터!AM:BQ,20,0)</f>
        <v>#N/A</v>
      </c>
      <c r="AM110" s="69" t="e">
        <f>VLOOKUP($D110,모델정보데이터!AM:BQ,23,0)</f>
        <v>#N/A</v>
      </c>
    </row>
    <row r="111" spans="2:39">
      <c r="C111" s="487"/>
      <c r="D111" s="258"/>
      <c r="G111" s="69"/>
      <c r="O111" s="259" t="e">
        <f>VLOOKUP($D111,모델정보데이터!$AM$4:$BQ$398,3,0)</f>
        <v>#N/A</v>
      </c>
      <c r="P111" s="582" t="e">
        <f>VLOOKUP($D111,모델정보데이터!$AM$4:$BQ$398,4,0)</f>
        <v>#N/A</v>
      </c>
      <c r="Q111" s="582" t="e">
        <f>VLOOKUP($D111,모델정보데이터!$AM$4:$BQ$398,5,0)</f>
        <v>#N/A</v>
      </c>
      <c r="R111" s="582" t="e">
        <f>VLOOKUP($D111,모델정보데이터!$AM$4:$BQ$398,6,0)</f>
        <v>#N/A</v>
      </c>
      <c r="S111" s="582" t="e">
        <f>VLOOKUP($D111,모델정보데이터!$AM$4:$BQ$398,7,0)</f>
        <v>#N/A</v>
      </c>
      <c r="T111" s="582" t="e">
        <f>VLOOKUP($D111,모델정보데이터!$AM$4:$BQ$398,15,0)</f>
        <v>#N/A</v>
      </c>
      <c r="U111" s="582" t="e">
        <f>VLOOKUP($D111,모델정보데이터!$AM$4:$BQ$398,16,0)</f>
        <v>#N/A</v>
      </c>
      <c r="V111" s="582" t="e">
        <f>VLOOKUP($D111,모델정보데이터!$AM$4:$BQ$398,8,0)</f>
        <v>#N/A</v>
      </c>
      <c r="W111" s="582" t="e">
        <f>VLOOKUP($D111,모델정보데이터!$AM$4:$BQ$398,9,0)</f>
        <v>#N/A</v>
      </c>
      <c r="X111" s="582" t="e">
        <f>VLOOKUP($D111,모델정보데이터!$AM$4:$BM$278,27,0)</f>
        <v>#N/A</v>
      </c>
      <c r="Y111" s="582" t="e">
        <f>VLOOKUP($D111,모델정보데이터!$AM$4:$BQ$398,11,0)</f>
        <v>#N/A</v>
      </c>
      <c r="Z111" s="582" t="e">
        <f>VLOOKUP($D111,모델정보데이터!$AM$4:$BQ$398,18,0)</f>
        <v>#N/A</v>
      </c>
      <c r="AA111" s="582" t="e">
        <f>VLOOKUP($D111,모델정보데이터!$AM$4:$BQ$398,12,0)</f>
        <v>#N/A</v>
      </c>
      <c r="AB111" s="583" t="e">
        <f>VLOOKUP($D111,모델정보데이터!$AM$4:$BQ$398,13,0)</f>
        <v>#N/A</v>
      </c>
      <c r="AC111" s="582" t="e">
        <f>VLOOKUP($D111,모델정보데이터!$AM$4:$BQ$398,17,0)</f>
        <v>#N/A</v>
      </c>
      <c r="AD111" s="582" t="e">
        <f>VLOOKUP($D111,모델정보데이터!$AM$4:$BQ$398,10,0)</f>
        <v>#N/A</v>
      </c>
      <c r="AE111" s="582">
        <f>IFERROR(VLOOKUP(D111,모델정보데이터!$AM$3:$BD$278,27,0),0)</f>
        <v>0</v>
      </c>
      <c r="AF111" s="1134" t="e">
        <f>VLOOKUP($D111,모델정보데이터!$AM$4:$BQ$398,14,0)</f>
        <v>#N/A</v>
      </c>
      <c r="AG111" s="260" t="e">
        <f>VLOOKUP($D111,모델정보데이터!AM:BQ,30,0)</f>
        <v>#N/A</v>
      </c>
      <c r="AH111" s="260" t="e">
        <f>VLOOKUP($D111,모델정보데이터!AM:BQ,31,0)</f>
        <v>#N/A</v>
      </c>
      <c r="AI111" s="260" t="e">
        <f>VLOOKUP($D111,모델정보데이터!AM:BQ,19,0)</f>
        <v>#N/A</v>
      </c>
      <c r="AJ111" s="69" t="e">
        <f>VLOOKUP($D111,모델정보데이터!AM:BQ,21,0)</f>
        <v>#N/A</v>
      </c>
      <c r="AK111" s="69" t="e">
        <f>VLOOKUP($D111,모델정보데이터!AM:BQ,22,0)</f>
        <v>#N/A</v>
      </c>
      <c r="AL111" s="69" t="e">
        <f>VLOOKUP($D111,모델정보데이터!AM:BQ,20,0)</f>
        <v>#N/A</v>
      </c>
      <c r="AM111" s="69" t="e">
        <f>VLOOKUP($D111,모델정보데이터!AM:BQ,23,0)</f>
        <v>#N/A</v>
      </c>
    </row>
    <row r="112" spans="2:39">
      <c r="C112" s="487"/>
      <c r="D112" s="258"/>
      <c r="G112" s="69"/>
      <c r="O112" s="259" t="e">
        <f>VLOOKUP($D112,모델정보데이터!$AM$4:$BQ$398,3,0)</f>
        <v>#N/A</v>
      </c>
      <c r="P112" s="582" t="e">
        <f>VLOOKUP($D112,모델정보데이터!$AM$4:$BQ$398,4,0)</f>
        <v>#N/A</v>
      </c>
      <c r="Q112" s="582" t="e">
        <f>VLOOKUP($D112,모델정보데이터!$AM$4:$BQ$398,5,0)</f>
        <v>#N/A</v>
      </c>
      <c r="R112" s="582" t="e">
        <f>VLOOKUP($D112,모델정보데이터!$AM$4:$BQ$398,6,0)</f>
        <v>#N/A</v>
      </c>
      <c r="S112" s="582" t="e">
        <f>VLOOKUP($D112,모델정보데이터!$AM$4:$BQ$398,7,0)</f>
        <v>#N/A</v>
      </c>
      <c r="T112" s="582" t="e">
        <f>VLOOKUP($D112,모델정보데이터!$AM$4:$BQ$398,15,0)</f>
        <v>#N/A</v>
      </c>
      <c r="U112" s="582" t="e">
        <f>VLOOKUP($D112,모델정보데이터!$AM$4:$BQ$398,16,0)</f>
        <v>#N/A</v>
      </c>
      <c r="V112" s="582" t="e">
        <f>VLOOKUP($D112,모델정보데이터!$AM$4:$BQ$398,8,0)</f>
        <v>#N/A</v>
      </c>
      <c r="W112" s="582" t="e">
        <f>VLOOKUP($D112,모델정보데이터!$AM$4:$BQ$398,9,0)</f>
        <v>#N/A</v>
      </c>
      <c r="X112" s="582" t="e">
        <f>VLOOKUP($D112,모델정보데이터!$AM$4:$BM$278,27,0)</f>
        <v>#N/A</v>
      </c>
      <c r="Y112" s="582" t="e">
        <f>VLOOKUP($D112,모델정보데이터!$AM$4:$BQ$398,11,0)</f>
        <v>#N/A</v>
      </c>
      <c r="Z112" s="582" t="e">
        <f>VLOOKUP($D112,모델정보데이터!$AM$4:$BQ$398,18,0)</f>
        <v>#N/A</v>
      </c>
      <c r="AA112" s="582" t="e">
        <f>VLOOKUP($D112,모델정보데이터!$AM$4:$BQ$398,12,0)</f>
        <v>#N/A</v>
      </c>
      <c r="AB112" s="583" t="e">
        <f>VLOOKUP($D112,모델정보데이터!$AM$4:$BQ$398,13,0)</f>
        <v>#N/A</v>
      </c>
      <c r="AC112" s="582" t="e">
        <f>VLOOKUP($D112,모델정보데이터!$AM$4:$BQ$398,17,0)</f>
        <v>#N/A</v>
      </c>
      <c r="AD112" s="582" t="e">
        <f>VLOOKUP($D112,모델정보데이터!$AM$4:$BQ$398,10,0)</f>
        <v>#N/A</v>
      </c>
      <c r="AE112" s="582">
        <f>IFERROR(VLOOKUP(D112,모델정보데이터!$AM$3:$BD$278,27,0),0)</f>
        <v>0</v>
      </c>
      <c r="AF112" s="1134" t="e">
        <f>VLOOKUP($D112,모델정보데이터!$AM$4:$BQ$398,14,0)</f>
        <v>#N/A</v>
      </c>
      <c r="AG112" s="260" t="e">
        <f>VLOOKUP($D112,모델정보데이터!AM:BQ,30,0)</f>
        <v>#N/A</v>
      </c>
      <c r="AH112" s="260" t="e">
        <f>VLOOKUP($D112,모델정보데이터!AM:BQ,31,0)</f>
        <v>#N/A</v>
      </c>
      <c r="AI112" s="260" t="e">
        <f>VLOOKUP($D112,모델정보데이터!AM:BQ,19,0)</f>
        <v>#N/A</v>
      </c>
      <c r="AJ112" s="69" t="e">
        <f>VLOOKUP($D112,모델정보데이터!AM:BQ,21,0)</f>
        <v>#N/A</v>
      </c>
      <c r="AK112" s="69" t="e">
        <f>VLOOKUP($D112,모델정보데이터!AM:BQ,22,0)</f>
        <v>#N/A</v>
      </c>
      <c r="AL112" s="69" t="e">
        <f>VLOOKUP($D112,모델정보데이터!AM:BQ,20,0)</f>
        <v>#N/A</v>
      </c>
      <c r="AM112" s="69" t="e">
        <f>VLOOKUP($D112,모델정보데이터!AM:BQ,23,0)</f>
        <v>#N/A</v>
      </c>
    </row>
    <row r="113" spans="3:39">
      <c r="C113" s="487"/>
      <c r="G113" s="69"/>
      <c r="O113" s="259" t="e">
        <f>VLOOKUP($D113,모델정보데이터!$AM$4:$BQ$398,3,0)</f>
        <v>#N/A</v>
      </c>
      <c r="P113" s="582" t="e">
        <f>VLOOKUP($D113,모델정보데이터!$AM$4:$BQ$398,4,0)</f>
        <v>#N/A</v>
      </c>
      <c r="Q113" s="582" t="e">
        <f>VLOOKUP($D113,모델정보데이터!$AM$4:$BQ$398,5,0)</f>
        <v>#N/A</v>
      </c>
      <c r="R113" s="582" t="e">
        <f>VLOOKUP($D113,모델정보데이터!$AM$4:$BQ$398,6,0)</f>
        <v>#N/A</v>
      </c>
      <c r="S113" s="582" t="e">
        <f>VLOOKUP($D113,모델정보데이터!$AM$4:$BQ$398,7,0)</f>
        <v>#N/A</v>
      </c>
      <c r="T113" s="582" t="e">
        <f>VLOOKUP($D113,모델정보데이터!$AM$4:$BQ$398,15,0)</f>
        <v>#N/A</v>
      </c>
      <c r="U113" s="582" t="e">
        <f>VLOOKUP($D113,모델정보데이터!$AM$4:$BQ$398,16,0)</f>
        <v>#N/A</v>
      </c>
      <c r="V113" s="582" t="e">
        <f>VLOOKUP($D113,모델정보데이터!$AM$4:$BQ$398,8,0)</f>
        <v>#N/A</v>
      </c>
      <c r="W113" s="582" t="e">
        <f>VLOOKUP($D113,모델정보데이터!$AM$4:$BQ$398,9,0)</f>
        <v>#N/A</v>
      </c>
      <c r="X113" s="582" t="e">
        <f>VLOOKUP($D113,모델정보데이터!$AM$4:$BM$278,27,0)</f>
        <v>#N/A</v>
      </c>
      <c r="Y113" s="582" t="e">
        <f>VLOOKUP($D113,모델정보데이터!$AM$4:$BQ$398,11,0)</f>
        <v>#N/A</v>
      </c>
      <c r="Z113" s="582" t="e">
        <f>VLOOKUP($D113,모델정보데이터!$AM$4:$BQ$398,18,0)</f>
        <v>#N/A</v>
      </c>
      <c r="AA113" s="582" t="e">
        <f>VLOOKUP($D113,모델정보데이터!$AM$4:$BQ$398,12,0)</f>
        <v>#N/A</v>
      </c>
      <c r="AB113" s="583" t="e">
        <f>VLOOKUP($D113,모델정보데이터!$AM$4:$BQ$398,13,0)</f>
        <v>#N/A</v>
      </c>
      <c r="AC113" s="582" t="e">
        <f>VLOOKUP($D113,모델정보데이터!$AM$4:$BQ$398,17,0)</f>
        <v>#N/A</v>
      </c>
      <c r="AD113" s="582" t="e">
        <f>VLOOKUP($D113,모델정보데이터!$AM$4:$BQ$398,10,0)</f>
        <v>#N/A</v>
      </c>
      <c r="AE113" s="582">
        <f>IFERROR(VLOOKUP(D113,모델정보데이터!$AM$3:$BD$278,27,0),0)</f>
        <v>0</v>
      </c>
      <c r="AF113" s="1134" t="e">
        <f>VLOOKUP($D113,모델정보데이터!$AM$4:$BQ$398,14,0)</f>
        <v>#N/A</v>
      </c>
      <c r="AG113" s="260" t="e">
        <f>VLOOKUP($D113,모델정보데이터!AM:BQ,30,0)</f>
        <v>#N/A</v>
      </c>
      <c r="AH113" s="260" t="e">
        <f>VLOOKUP($D113,모델정보데이터!AM:BQ,31,0)</f>
        <v>#N/A</v>
      </c>
      <c r="AI113" s="260" t="e">
        <f>VLOOKUP($D113,모델정보데이터!AM:BQ,19,0)</f>
        <v>#N/A</v>
      </c>
      <c r="AJ113" s="69" t="e">
        <f>VLOOKUP($D113,모델정보데이터!AM:BQ,21,0)</f>
        <v>#N/A</v>
      </c>
      <c r="AK113" s="69" t="e">
        <f>VLOOKUP($D113,모델정보데이터!AM:BQ,22,0)</f>
        <v>#N/A</v>
      </c>
      <c r="AL113" s="69" t="e">
        <f>VLOOKUP($D113,모델정보데이터!AM:BQ,20,0)</f>
        <v>#N/A</v>
      </c>
      <c r="AM113" s="69" t="e">
        <f>VLOOKUP($D113,모델정보데이터!AM:BQ,23,0)</f>
        <v>#N/A</v>
      </c>
    </row>
    <row r="114" spans="3:39">
      <c r="C114" s="487"/>
      <c r="G114" s="69"/>
      <c r="O114" s="259" t="e">
        <f>VLOOKUP($D114,모델정보데이터!$AM$4:$BQ$398,3,0)</f>
        <v>#N/A</v>
      </c>
      <c r="P114" s="582" t="e">
        <f>VLOOKUP($D114,모델정보데이터!$AM$4:$BQ$398,4,0)</f>
        <v>#N/A</v>
      </c>
      <c r="Q114" s="582" t="e">
        <f>VLOOKUP($D114,모델정보데이터!$AM$4:$BQ$398,5,0)</f>
        <v>#N/A</v>
      </c>
      <c r="R114" s="582" t="e">
        <f>VLOOKUP($D114,모델정보데이터!$AM$4:$BQ$398,6,0)</f>
        <v>#N/A</v>
      </c>
      <c r="S114" s="582" t="e">
        <f>VLOOKUP($D114,모델정보데이터!$AM$4:$BQ$398,7,0)</f>
        <v>#N/A</v>
      </c>
      <c r="T114" s="582" t="e">
        <f>VLOOKUP($D114,모델정보데이터!$AM$4:$BQ$398,15,0)</f>
        <v>#N/A</v>
      </c>
      <c r="U114" s="582" t="e">
        <f>VLOOKUP($D114,모델정보데이터!$AM$4:$BQ$398,16,0)</f>
        <v>#N/A</v>
      </c>
      <c r="V114" s="582" t="e">
        <f>VLOOKUP($D114,모델정보데이터!$AM$4:$BQ$398,8,0)</f>
        <v>#N/A</v>
      </c>
      <c r="W114" s="582" t="e">
        <f>VLOOKUP($D114,모델정보데이터!$AM$4:$BQ$398,9,0)</f>
        <v>#N/A</v>
      </c>
      <c r="X114" s="582" t="e">
        <f>VLOOKUP($D114,모델정보데이터!$AM$4:$BM$278,27,0)</f>
        <v>#N/A</v>
      </c>
      <c r="Y114" s="582" t="e">
        <f>VLOOKUP($D114,모델정보데이터!$AM$4:$BQ$398,11,0)</f>
        <v>#N/A</v>
      </c>
      <c r="Z114" s="582" t="e">
        <f>VLOOKUP($D114,모델정보데이터!$AM$4:$BQ$398,18,0)</f>
        <v>#N/A</v>
      </c>
      <c r="AA114" s="582" t="e">
        <f>VLOOKUP($D114,모델정보데이터!$AM$4:$BQ$398,12,0)</f>
        <v>#N/A</v>
      </c>
      <c r="AB114" s="583" t="e">
        <f>VLOOKUP($D114,모델정보데이터!$AM$4:$BQ$398,13,0)</f>
        <v>#N/A</v>
      </c>
      <c r="AC114" s="582" t="e">
        <f>VLOOKUP($D114,모델정보데이터!$AM$4:$BQ$398,17,0)</f>
        <v>#N/A</v>
      </c>
      <c r="AD114" s="582" t="e">
        <f>VLOOKUP($D114,모델정보데이터!$AM$4:$BQ$398,10,0)</f>
        <v>#N/A</v>
      </c>
      <c r="AE114" s="582">
        <f>IFERROR(VLOOKUP(D114,모델정보데이터!$AM$3:$BD$278,27,0),0)</f>
        <v>0</v>
      </c>
      <c r="AF114" s="1134" t="e">
        <f>VLOOKUP($D114,모델정보데이터!$AM$4:$BQ$398,14,0)</f>
        <v>#N/A</v>
      </c>
      <c r="AG114" s="260" t="e">
        <f>VLOOKUP($D114,모델정보데이터!AM:BQ,30,0)</f>
        <v>#N/A</v>
      </c>
      <c r="AH114" s="260" t="e">
        <f>VLOOKUP($D114,모델정보데이터!AM:BQ,31,0)</f>
        <v>#N/A</v>
      </c>
      <c r="AI114" s="260" t="e">
        <f>VLOOKUP($D114,모델정보데이터!AM:BQ,19,0)</f>
        <v>#N/A</v>
      </c>
      <c r="AJ114" s="69" t="e">
        <f>VLOOKUP($D114,모델정보데이터!AM:BQ,21,0)</f>
        <v>#N/A</v>
      </c>
      <c r="AK114" s="69" t="e">
        <f>VLOOKUP($D114,모델정보데이터!AM:BQ,22,0)</f>
        <v>#N/A</v>
      </c>
      <c r="AL114" s="69" t="e">
        <f>VLOOKUP($D114,모델정보데이터!AM:BQ,20,0)</f>
        <v>#N/A</v>
      </c>
      <c r="AM114" s="69" t="e">
        <f>VLOOKUP($D114,모델정보데이터!AM:BQ,23,0)</f>
        <v>#N/A</v>
      </c>
    </row>
    <row r="115" spans="3:39">
      <c r="C115" s="487"/>
      <c r="G115" s="69"/>
      <c r="O115" s="259" t="e">
        <f>VLOOKUP($D115,모델정보데이터!$AM$4:$BQ$398,3,0)</f>
        <v>#N/A</v>
      </c>
      <c r="P115" s="582" t="e">
        <f>VLOOKUP($D115,모델정보데이터!$AM$4:$BQ$398,4,0)</f>
        <v>#N/A</v>
      </c>
      <c r="Q115" s="582" t="e">
        <f>VLOOKUP($D115,모델정보데이터!$AM$4:$BQ$398,5,0)</f>
        <v>#N/A</v>
      </c>
      <c r="R115" s="582" t="e">
        <f>VLOOKUP($D115,모델정보데이터!$AM$4:$BQ$398,6,0)</f>
        <v>#N/A</v>
      </c>
      <c r="S115" s="582" t="e">
        <f>VLOOKUP($D115,모델정보데이터!$AM$4:$BQ$398,7,0)</f>
        <v>#N/A</v>
      </c>
      <c r="T115" s="582" t="e">
        <f>VLOOKUP($D115,모델정보데이터!$AM$4:$BQ$398,15,0)</f>
        <v>#N/A</v>
      </c>
      <c r="U115" s="582" t="e">
        <f>VLOOKUP($D115,모델정보데이터!$AM$4:$BQ$398,16,0)</f>
        <v>#N/A</v>
      </c>
      <c r="V115" s="582" t="e">
        <f>VLOOKUP($D115,모델정보데이터!$AM$4:$BQ$398,8,0)</f>
        <v>#N/A</v>
      </c>
      <c r="W115" s="582" t="e">
        <f>VLOOKUP($D115,모델정보데이터!$AM$4:$BQ$398,9,0)</f>
        <v>#N/A</v>
      </c>
      <c r="X115" s="582" t="e">
        <f>VLOOKUP($D115,모델정보데이터!$AM$4:$BM$278,27,0)</f>
        <v>#N/A</v>
      </c>
      <c r="Y115" s="582" t="e">
        <f>VLOOKUP($D115,모델정보데이터!$AM$4:$BQ$398,11,0)</f>
        <v>#N/A</v>
      </c>
      <c r="Z115" s="582" t="e">
        <f>VLOOKUP($D115,모델정보데이터!$AM$4:$BQ$398,18,0)</f>
        <v>#N/A</v>
      </c>
      <c r="AA115" s="582" t="e">
        <f>VLOOKUP($D115,모델정보데이터!$AM$4:$BQ$398,12,0)</f>
        <v>#N/A</v>
      </c>
      <c r="AB115" s="583" t="e">
        <f>VLOOKUP($D115,모델정보데이터!$AM$4:$BQ$398,13,0)</f>
        <v>#N/A</v>
      </c>
      <c r="AC115" s="582" t="e">
        <f>VLOOKUP($D115,모델정보데이터!$AM$4:$BQ$398,17,0)</f>
        <v>#N/A</v>
      </c>
      <c r="AD115" s="582" t="e">
        <f>VLOOKUP($D115,모델정보데이터!$AM$4:$BQ$398,10,0)</f>
        <v>#N/A</v>
      </c>
      <c r="AE115" s="582">
        <f>IFERROR(VLOOKUP(D115,모델정보데이터!$AM$3:$BD$278,27,0),0)</f>
        <v>0</v>
      </c>
      <c r="AF115" s="1134" t="e">
        <f>VLOOKUP($D115,모델정보데이터!$AM$4:$BQ$398,14,0)</f>
        <v>#N/A</v>
      </c>
      <c r="AG115" s="260" t="e">
        <f>VLOOKUP($D115,모델정보데이터!AM:BQ,30,0)</f>
        <v>#N/A</v>
      </c>
      <c r="AH115" s="260" t="e">
        <f>VLOOKUP($D115,모델정보데이터!AM:BQ,31,0)</f>
        <v>#N/A</v>
      </c>
      <c r="AI115" s="260" t="e">
        <f>VLOOKUP($D115,모델정보데이터!AM:BQ,19,0)</f>
        <v>#N/A</v>
      </c>
      <c r="AJ115" s="69" t="e">
        <f>VLOOKUP($D115,모델정보데이터!AM:BQ,21,0)</f>
        <v>#N/A</v>
      </c>
      <c r="AK115" s="69" t="e">
        <f>VLOOKUP($D115,모델정보데이터!AM:BQ,22,0)</f>
        <v>#N/A</v>
      </c>
      <c r="AL115" s="69" t="e">
        <f>VLOOKUP($D115,모델정보데이터!AM:BQ,20,0)</f>
        <v>#N/A</v>
      </c>
      <c r="AM115" s="69" t="e">
        <f>VLOOKUP($D115,모델정보데이터!AM:BQ,23,0)</f>
        <v>#N/A</v>
      </c>
    </row>
    <row r="116" spans="3:39">
      <c r="C116" s="487"/>
      <c r="O116" s="259" t="e">
        <f>VLOOKUP($D116,모델정보데이터!$AM$4:$BQ$398,3,0)</f>
        <v>#N/A</v>
      </c>
      <c r="P116" s="582" t="e">
        <f>VLOOKUP($D116,모델정보데이터!$AM$4:$BQ$398,4,0)</f>
        <v>#N/A</v>
      </c>
      <c r="Q116" s="582" t="e">
        <f>VLOOKUP($D116,모델정보데이터!$AM$4:$BQ$398,5,0)</f>
        <v>#N/A</v>
      </c>
      <c r="R116" s="582" t="e">
        <f>VLOOKUP($D116,모델정보데이터!$AM$4:$BQ$398,6,0)</f>
        <v>#N/A</v>
      </c>
      <c r="S116" s="582" t="e">
        <f>VLOOKUP($D116,모델정보데이터!$AM$4:$BQ$398,7,0)</f>
        <v>#N/A</v>
      </c>
      <c r="T116" s="582" t="e">
        <f>VLOOKUP($D116,모델정보데이터!$AM$4:$BQ$398,15,0)</f>
        <v>#N/A</v>
      </c>
      <c r="U116" s="582" t="e">
        <f>VLOOKUP($D116,모델정보데이터!$AM$4:$BQ$398,16,0)</f>
        <v>#N/A</v>
      </c>
      <c r="V116" s="582" t="e">
        <f>VLOOKUP($D116,모델정보데이터!$AM$4:$BQ$398,8,0)</f>
        <v>#N/A</v>
      </c>
      <c r="W116" s="582" t="e">
        <f>VLOOKUP($D116,모델정보데이터!$AM$4:$BQ$398,9,0)</f>
        <v>#N/A</v>
      </c>
      <c r="X116" s="582" t="e">
        <f>VLOOKUP($D116,모델정보데이터!$AM$4:$BM$278,27,0)</f>
        <v>#N/A</v>
      </c>
      <c r="Y116" s="582" t="e">
        <f>VLOOKUP($D116,모델정보데이터!$AM$4:$BQ$398,11,0)</f>
        <v>#N/A</v>
      </c>
      <c r="Z116" s="582" t="e">
        <f>VLOOKUP($D116,모델정보데이터!$AM$4:$BQ$398,18,0)</f>
        <v>#N/A</v>
      </c>
      <c r="AA116" s="582" t="e">
        <f>VLOOKUP($D116,모델정보데이터!$AM$4:$BQ$398,12,0)</f>
        <v>#N/A</v>
      </c>
      <c r="AB116" s="583" t="e">
        <f>VLOOKUP($D116,모델정보데이터!$AM$4:$BQ$398,13,0)</f>
        <v>#N/A</v>
      </c>
      <c r="AC116" s="582" t="e">
        <f>VLOOKUP($D116,모델정보데이터!$AM$4:$BQ$398,17,0)</f>
        <v>#N/A</v>
      </c>
      <c r="AD116" s="582" t="e">
        <f>VLOOKUP($D116,모델정보데이터!$AM$4:$BQ$398,10,0)</f>
        <v>#N/A</v>
      </c>
      <c r="AE116" s="582">
        <f>IFERROR(VLOOKUP(D116,모델정보데이터!$AM$3:$BD$278,27,0),0)</f>
        <v>0</v>
      </c>
      <c r="AF116" s="1134" t="e">
        <f>VLOOKUP($D116,모델정보데이터!$AM$4:$BQ$398,14,0)</f>
        <v>#N/A</v>
      </c>
      <c r="AG116" s="260" t="e">
        <f>VLOOKUP($D116,모델정보데이터!AM:BQ,30,0)</f>
        <v>#N/A</v>
      </c>
      <c r="AH116" s="260" t="e">
        <f>VLOOKUP($D116,모델정보데이터!AM:BQ,31,0)</f>
        <v>#N/A</v>
      </c>
      <c r="AI116" s="260" t="e">
        <f>VLOOKUP($D116,모델정보데이터!AM:BQ,19,0)</f>
        <v>#N/A</v>
      </c>
      <c r="AJ116" s="69" t="e">
        <f>VLOOKUP($D116,모델정보데이터!AM:BQ,21,0)</f>
        <v>#N/A</v>
      </c>
      <c r="AK116" s="69" t="e">
        <f>VLOOKUP($D116,모델정보데이터!AM:BQ,22,0)</f>
        <v>#N/A</v>
      </c>
      <c r="AL116" s="69" t="e">
        <f>VLOOKUP($D116,모델정보데이터!AM:BQ,20,0)</f>
        <v>#N/A</v>
      </c>
      <c r="AM116" s="69" t="e">
        <f>VLOOKUP($D116,모델정보데이터!AM:BQ,23,0)</f>
        <v>#N/A</v>
      </c>
    </row>
    <row r="117" spans="3:39">
      <c r="C117" s="487"/>
      <c r="O117" s="259" t="e">
        <f>VLOOKUP($D117,모델정보데이터!$AM$4:$BQ$398,3,0)</f>
        <v>#N/A</v>
      </c>
      <c r="P117" s="582" t="e">
        <f>VLOOKUP($D117,모델정보데이터!$AM$4:$BQ$398,4,0)</f>
        <v>#N/A</v>
      </c>
      <c r="Q117" s="582" t="e">
        <f>VLOOKUP($D117,모델정보데이터!$AM$4:$BQ$398,5,0)</f>
        <v>#N/A</v>
      </c>
      <c r="R117" s="582" t="e">
        <f>VLOOKUP($D117,모델정보데이터!$AM$4:$BQ$398,6,0)</f>
        <v>#N/A</v>
      </c>
      <c r="S117" s="582" t="e">
        <f>VLOOKUP($D117,모델정보데이터!$AM$4:$BQ$398,7,0)</f>
        <v>#N/A</v>
      </c>
      <c r="T117" s="582" t="e">
        <f>VLOOKUP($D117,모델정보데이터!$AM$4:$BQ$398,15,0)</f>
        <v>#N/A</v>
      </c>
      <c r="U117" s="582" t="e">
        <f>VLOOKUP($D117,모델정보데이터!$AM$4:$BQ$398,16,0)</f>
        <v>#N/A</v>
      </c>
      <c r="V117" s="582" t="e">
        <f>VLOOKUP($D117,모델정보데이터!$AM$4:$BQ$398,8,0)</f>
        <v>#N/A</v>
      </c>
      <c r="W117" s="582" t="e">
        <f>VLOOKUP($D117,모델정보데이터!$AM$4:$BQ$398,9,0)</f>
        <v>#N/A</v>
      </c>
      <c r="X117" s="582" t="e">
        <f>VLOOKUP($D117,모델정보데이터!$AM$4:$BM$278,27,0)</f>
        <v>#N/A</v>
      </c>
      <c r="Y117" s="582" t="e">
        <f>VLOOKUP($D117,모델정보데이터!$AM$4:$BQ$398,11,0)</f>
        <v>#N/A</v>
      </c>
      <c r="Z117" s="582" t="e">
        <f>VLOOKUP($D117,모델정보데이터!$AM$4:$BQ$398,18,0)</f>
        <v>#N/A</v>
      </c>
      <c r="AA117" s="582" t="e">
        <f>VLOOKUP($D117,모델정보데이터!$AM$4:$BQ$398,12,0)</f>
        <v>#N/A</v>
      </c>
      <c r="AB117" s="583" t="e">
        <f>VLOOKUP($D117,모델정보데이터!$AM$4:$BQ$398,13,0)</f>
        <v>#N/A</v>
      </c>
      <c r="AC117" s="582" t="e">
        <f>VLOOKUP($D117,모델정보데이터!$AM$4:$BQ$398,17,0)</f>
        <v>#N/A</v>
      </c>
      <c r="AD117" s="582" t="e">
        <f>VLOOKUP($D117,모델정보데이터!$AM$4:$BQ$398,10,0)</f>
        <v>#N/A</v>
      </c>
      <c r="AE117" s="582">
        <f>IFERROR(VLOOKUP(D117,모델정보데이터!$AM$3:$BD$278,27,0),0)</f>
        <v>0</v>
      </c>
      <c r="AF117" s="1134" t="e">
        <f>VLOOKUP($D117,모델정보데이터!$AM$4:$BQ$398,14,0)</f>
        <v>#N/A</v>
      </c>
      <c r="AG117" s="260" t="e">
        <f>VLOOKUP($D117,모델정보데이터!AM:BQ,30,0)</f>
        <v>#N/A</v>
      </c>
      <c r="AH117" s="260" t="e">
        <f>VLOOKUP($D117,모델정보데이터!AM:BQ,31,0)</f>
        <v>#N/A</v>
      </c>
      <c r="AI117" s="260" t="e">
        <f>VLOOKUP($D117,모델정보데이터!AM:BQ,19,0)</f>
        <v>#N/A</v>
      </c>
      <c r="AJ117" s="69" t="e">
        <f>VLOOKUP($D117,모델정보데이터!AM:BQ,21,0)</f>
        <v>#N/A</v>
      </c>
      <c r="AK117" s="69" t="e">
        <f>VLOOKUP($D117,모델정보데이터!AM:BQ,22,0)</f>
        <v>#N/A</v>
      </c>
      <c r="AL117" s="69" t="e">
        <f>VLOOKUP($D117,모델정보데이터!AM:BQ,20,0)</f>
        <v>#N/A</v>
      </c>
      <c r="AM117" s="69" t="e">
        <f>VLOOKUP($D117,모델정보데이터!AM:BQ,23,0)</f>
        <v>#N/A</v>
      </c>
    </row>
    <row r="118" spans="3:39">
      <c r="C118" s="487"/>
      <c r="O118" s="259" t="e">
        <f>VLOOKUP($D118,모델정보데이터!$AM$4:$BQ$398,3,0)</f>
        <v>#N/A</v>
      </c>
      <c r="P118" s="582" t="e">
        <f>VLOOKUP($D118,모델정보데이터!$AM$4:$BQ$398,4,0)</f>
        <v>#N/A</v>
      </c>
      <c r="Q118" s="582" t="e">
        <f>VLOOKUP($D118,모델정보데이터!$AM$4:$BQ$398,5,0)</f>
        <v>#N/A</v>
      </c>
      <c r="R118" s="582" t="e">
        <f>VLOOKUP($D118,모델정보데이터!$AM$4:$BQ$398,6,0)</f>
        <v>#N/A</v>
      </c>
      <c r="S118" s="582" t="e">
        <f>VLOOKUP($D118,모델정보데이터!$AM$4:$BQ$398,7,0)</f>
        <v>#N/A</v>
      </c>
      <c r="T118" s="582" t="e">
        <f>VLOOKUP($D118,모델정보데이터!$AM$4:$BQ$398,15,0)</f>
        <v>#N/A</v>
      </c>
      <c r="U118" s="582" t="e">
        <f>VLOOKUP($D118,모델정보데이터!$AM$4:$BQ$398,16,0)</f>
        <v>#N/A</v>
      </c>
      <c r="V118" s="582" t="e">
        <f>VLOOKUP($D118,모델정보데이터!$AM$4:$BQ$398,8,0)</f>
        <v>#N/A</v>
      </c>
      <c r="W118" s="582" t="e">
        <f>VLOOKUP($D118,모델정보데이터!$AM$4:$BQ$398,9,0)</f>
        <v>#N/A</v>
      </c>
      <c r="X118" s="582" t="e">
        <f>VLOOKUP($D118,모델정보데이터!$AM$4:$BM$278,27,0)</f>
        <v>#N/A</v>
      </c>
      <c r="Y118" s="582" t="e">
        <f>VLOOKUP($D118,모델정보데이터!$AM$4:$BQ$398,11,0)</f>
        <v>#N/A</v>
      </c>
      <c r="Z118" s="582" t="e">
        <f>VLOOKUP($D118,모델정보데이터!$AM$4:$BQ$398,18,0)</f>
        <v>#N/A</v>
      </c>
      <c r="AA118" s="582" t="e">
        <f>VLOOKUP($D118,모델정보데이터!$AM$4:$BQ$398,12,0)</f>
        <v>#N/A</v>
      </c>
      <c r="AB118" s="583" t="e">
        <f>VLOOKUP($D118,모델정보데이터!$AM$4:$BQ$398,13,0)</f>
        <v>#N/A</v>
      </c>
      <c r="AC118" s="582" t="e">
        <f>VLOOKUP($D118,모델정보데이터!$AM$4:$BQ$398,17,0)</f>
        <v>#N/A</v>
      </c>
      <c r="AD118" s="582" t="e">
        <f>VLOOKUP($D118,모델정보데이터!$AM$4:$BQ$398,10,0)</f>
        <v>#N/A</v>
      </c>
      <c r="AE118" s="582">
        <f>IFERROR(VLOOKUP(D118,모델정보데이터!$AM$3:$BD$278,27,0),0)</f>
        <v>0</v>
      </c>
      <c r="AF118" s="1134" t="e">
        <f>VLOOKUP($D118,모델정보데이터!$AM$4:$BQ$398,14,0)</f>
        <v>#N/A</v>
      </c>
      <c r="AG118" s="260" t="e">
        <f>VLOOKUP($D118,모델정보데이터!AM:BQ,30,0)</f>
        <v>#N/A</v>
      </c>
      <c r="AH118" s="260" t="e">
        <f>VLOOKUP($D118,모델정보데이터!AM:BQ,31,0)</f>
        <v>#N/A</v>
      </c>
      <c r="AI118" s="260" t="e">
        <f>VLOOKUP($D118,모델정보데이터!AM:BQ,19,0)</f>
        <v>#N/A</v>
      </c>
      <c r="AJ118" s="69" t="e">
        <f>VLOOKUP($D118,모델정보데이터!AM:BQ,21,0)</f>
        <v>#N/A</v>
      </c>
      <c r="AK118" s="69" t="e">
        <f>VLOOKUP($D118,모델정보데이터!AM:BQ,22,0)</f>
        <v>#N/A</v>
      </c>
      <c r="AL118" s="69" t="e">
        <f>VLOOKUP($D118,모델정보데이터!AM:BQ,20,0)</f>
        <v>#N/A</v>
      </c>
      <c r="AM118" s="69" t="e">
        <f>VLOOKUP($D118,모델정보데이터!AM:BQ,23,0)</f>
        <v>#N/A</v>
      </c>
    </row>
    <row r="119" spans="3:39">
      <c r="C119" s="487"/>
      <c r="O119" s="259" t="e">
        <f>VLOOKUP($D119,모델정보데이터!$AM$4:$BQ$398,3,0)</f>
        <v>#N/A</v>
      </c>
      <c r="P119" s="582" t="e">
        <f>VLOOKUP($D119,모델정보데이터!$AM$4:$BQ$398,4,0)</f>
        <v>#N/A</v>
      </c>
      <c r="Q119" s="582" t="e">
        <f>VLOOKUP($D119,모델정보데이터!$AM$4:$BQ$398,5,0)</f>
        <v>#N/A</v>
      </c>
      <c r="R119" s="582" t="e">
        <f>VLOOKUP($D119,모델정보데이터!$AM$4:$BQ$398,6,0)</f>
        <v>#N/A</v>
      </c>
      <c r="S119" s="582" t="e">
        <f>VLOOKUP($D119,모델정보데이터!$AM$4:$BQ$398,7,0)</f>
        <v>#N/A</v>
      </c>
      <c r="T119" s="582" t="e">
        <f>VLOOKUP($D119,모델정보데이터!$AM$4:$BQ$398,15,0)</f>
        <v>#N/A</v>
      </c>
      <c r="U119" s="582" t="e">
        <f>VLOOKUP($D119,모델정보데이터!$AM$4:$BQ$398,16,0)</f>
        <v>#N/A</v>
      </c>
      <c r="V119" s="582" t="e">
        <f>VLOOKUP($D119,모델정보데이터!$AM$4:$BQ$398,8,0)</f>
        <v>#N/A</v>
      </c>
      <c r="W119" s="582" t="e">
        <f>VLOOKUP($D119,모델정보데이터!$AM$4:$BQ$398,9,0)</f>
        <v>#N/A</v>
      </c>
      <c r="X119" s="582" t="e">
        <f>VLOOKUP($D119,모델정보데이터!$AM$4:$BM$278,27,0)</f>
        <v>#N/A</v>
      </c>
      <c r="Y119" s="582" t="e">
        <f>VLOOKUP($D119,모델정보데이터!$AM$4:$BQ$398,11,0)</f>
        <v>#N/A</v>
      </c>
      <c r="Z119" s="582" t="e">
        <f>VLOOKUP($D119,모델정보데이터!$AM$4:$BQ$398,18,0)</f>
        <v>#N/A</v>
      </c>
      <c r="AA119" s="582" t="e">
        <f>VLOOKUP($D119,모델정보데이터!$AM$4:$BQ$398,12,0)</f>
        <v>#N/A</v>
      </c>
      <c r="AB119" s="583" t="e">
        <f>VLOOKUP($D119,모델정보데이터!$AM$4:$BQ$398,13,0)</f>
        <v>#N/A</v>
      </c>
      <c r="AC119" s="582" t="e">
        <f>VLOOKUP($D119,모델정보데이터!$AM$4:$BQ$398,17,0)</f>
        <v>#N/A</v>
      </c>
      <c r="AD119" s="582" t="e">
        <f>VLOOKUP($D119,모델정보데이터!$AM$4:$BQ$398,10,0)</f>
        <v>#N/A</v>
      </c>
      <c r="AE119" s="582">
        <f>IFERROR(VLOOKUP(D119,모델정보데이터!$AM$3:$BD$278,27,0),0)</f>
        <v>0</v>
      </c>
      <c r="AF119" s="1134" t="e">
        <f>VLOOKUP($D119,모델정보데이터!$AM$4:$BQ$398,14,0)</f>
        <v>#N/A</v>
      </c>
      <c r="AG119" s="260" t="e">
        <f>VLOOKUP($D119,모델정보데이터!AM:BQ,30,0)</f>
        <v>#N/A</v>
      </c>
      <c r="AH119" s="260" t="e">
        <f>VLOOKUP($D119,모델정보데이터!AM:BQ,31,0)</f>
        <v>#N/A</v>
      </c>
      <c r="AI119" s="260" t="e">
        <f>VLOOKUP($D119,모델정보데이터!AM:BQ,19,0)</f>
        <v>#N/A</v>
      </c>
      <c r="AJ119" s="69" t="e">
        <f>VLOOKUP($D119,모델정보데이터!AM:BQ,21,0)</f>
        <v>#N/A</v>
      </c>
      <c r="AK119" s="69" t="e">
        <f>VLOOKUP($D119,모델정보데이터!AM:BQ,22,0)</f>
        <v>#N/A</v>
      </c>
      <c r="AL119" s="69" t="e">
        <f>VLOOKUP($D119,모델정보데이터!AM:BQ,20,0)</f>
        <v>#N/A</v>
      </c>
      <c r="AM119" s="69" t="e">
        <f>VLOOKUP($D119,모델정보데이터!AM:BQ,23,0)</f>
        <v>#N/A</v>
      </c>
    </row>
    <row r="120" spans="3:39">
      <c r="C120" s="487"/>
      <c r="O120" s="259" t="e">
        <f>VLOOKUP($D120,모델정보데이터!$AM$4:$BQ$398,3,0)</f>
        <v>#N/A</v>
      </c>
      <c r="P120" s="582" t="e">
        <f>VLOOKUP($D120,모델정보데이터!$AM$4:$BQ$398,4,0)</f>
        <v>#N/A</v>
      </c>
      <c r="Q120" s="582" t="e">
        <f>VLOOKUP($D120,모델정보데이터!$AM$4:$BQ$398,5,0)</f>
        <v>#N/A</v>
      </c>
      <c r="R120" s="582" t="e">
        <f>VLOOKUP($D120,모델정보데이터!$AM$4:$BQ$398,6,0)</f>
        <v>#N/A</v>
      </c>
      <c r="S120" s="582" t="e">
        <f>VLOOKUP($D120,모델정보데이터!$AM$4:$BQ$398,7,0)</f>
        <v>#N/A</v>
      </c>
      <c r="T120" s="582" t="e">
        <f>VLOOKUP($D120,모델정보데이터!$AM$4:$BQ$398,15,0)</f>
        <v>#N/A</v>
      </c>
      <c r="U120" s="582" t="e">
        <f>VLOOKUP($D120,모델정보데이터!$AM$4:$BQ$398,16,0)</f>
        <v>#N/A</v>
      </c>
      <c r="V120" s="582" t="e">
        <f>VLOOKUP($D120,모델정보데이터!$AM$4:$BQ$398,8,0)</f>
        <v>#N/A</v>
      </c>
      <c r="W120" s="582" t="e">
        <f>VLOOKUP($D120,모델정보데이터!$AM$4:$BQ$398,9,0)</f>
        <v>#N/A</v>
      </c>
      <c r="X120" s="582" t="e">
        <f>VLOOKUP($D120,모델정보데이터!$AM$4:$BM$278,27,0)</f>
        <v>#N/A</v>
      </c>
      <c r="Y120" s="582" t="e">
        <f>VLOOKUP($D120,모델정보데이터!$AM$4:$BQ$398,11,0)</f>
        <v>#N/A</v>
      </c>
      <c r="Z120" s="582" t="e">
        <f>VLOOKUP($D120,모델정보데이터!$AM$4:$BQ$398,18,0)</f>
        <v>#N/A</v>
      </c>
      <c r="AA120" s="582" t="e">
        <f>VLOOKUP($D120,모델정보데이터!$AM$4:$BQ$398,12,0)</f>
        <v>#N/A</v>
      </c>
      <c r="AB120" s="583" t="e">
        <f>VLOOKUP($D120,모델정보데이터!$AM$4:$BQ$398,13,0)</f>
        <v>#N/A</v>
      </c>
      <c r="AC120" s="582" t="e">
        <f>VLOOKUP($D120,모델정보데이터!$AM$4:$BQ$398,17,0)</f>
        <v>#N/A</v>
      </c>
      <c r="AD120" s="582" t="e">
        <f>VLOOKUP($D120,모델정보데이터!$AM$4:$BQ$398,10,0)</f>
        <v>#N/A</v>
      </c>
      <c r="AE120" s="582">
        <f>IFERROR(VLOOKUP(D120,모델정보데이터!$AM$3:$BD$278,27,0),0)</f>
        <v>0</v>
      </c>
      <c r="AF120" s="1134" t="e">
        <f>VLOOKUP($D120,모델정보데이터!$AM$4:$BQ$398,14,0)</f>
        <v>#N/A</v>
      </c>
      <c r="AG120" s="260" t="e">
        <f>VLOOKUP($D120,모델정보데이터!AM:BQ,30,0)</f>
        <v>#N/A</v>
      </c>
      <c r="AH120" s="260" t="e">
        <f>VLOOKUP($D120,모델정보데이터!AM:BQ,31,0)</f>
        <v>#N/A</v>
      </c>
      <c r="AI120" s="260" t="e">
        <f>VLOOKUP($D120,모델정보데이터!AM:BQ,19,0)</f>
        <v>#N/A</v>
      </c>
      <c r="AJ120" s="69" t="e">
        <f>VLOOKUP($D120,모델정보데이터!AM:BQ,21,0)</f>
        <v>#N/A</v>
      </c>
      <c r="AK120" s="69" t="e">
        <f>VLOOKUP($D120,모델정보데이터!AM:BQ,22,0)</f>
        <v>#N/A</v>
      </c>
      <c r="AL120" s="69" t="e">
        <f>VLOOKUP($D120,모델정보데이터!AM:BQ,20,0)</f>
        <v>#N/A</v>
      </c>
      <c r="AM120" s="69" t="e">
        <f>VLOOKUP($D120,모델정보데이터!AM:BQ,23,0)</f>
        <v>#N/A</v>
      </c>
    </row>
    <row r="121" spans="3:39">
      <c r="C121" s="487"/>
      <c r="O121" s="259" t="e">
        <f>VLOOKUP($D121,모델정보데이터!$AM$4:$BQ$398,3,0)</f>
        <v>#N/A</v>
      </c>
      <c r="P121" s="582" t="e">
        <f>VLOOKUP($D121,모델정보데이터!$AM$4:$BQ$398,4,0)</f>
        <v>#N/A</v>
      </c>
      <c r="Q121" s="582" t="e">
        <f>VLOOKUP($D121,모델정보데이터!$AM$4:$BQ$398,5,0)</f>
        <v>#N/A</v>
      </c>
      <c r="R121" s="582" t="e">
        <f>VLOOKUP($D121,모델정보데이터!$AM$4:$BQ$398,6,0)</f>
        <v>#N/A</v>
      </c>
      <c r="S121" s="582" t="e">
        <f>VLOOKUP($D121,모델정보데이터!$AM$4:$BQ$398,7,0)</f>
        <v>#N/A</v>
      </c>
      <c r="T121" s="582" t="e">
        <f>VLOOKUP($D121,모델정보데이터!$AM$4:$BQ$398,15,0)</f>
        <v>#N/A</v>
      </c>
      <c r="U121" s="582" t="e">
        <f>VLOOKUP($D121,모델정보데이터!$AM$4:$BQ$398,16,0)</f>
        <v>#N/A</v>
      </c>
      <c r="V121" s="582" t="e">
        <f>VLOOKUP($D121,모델정보데이터!$AM$4:$BQ$398,8,0)</f>
        <v>#N/A</v>
      </c>
      <c r="W121" s="582" t="e">
        <f>VLOOKUP($D121,모델정보데이터!$AM$4:$BQ$398,9,0)</f>
        <v>#N/A</v>
      </c>
      <c r="X121" s="582" t="e">
        <f>VLOOKUP($D121,모델정보데이터!$AM$4:$BM$278,27,0)</f>
        <v>#N/A</v>
      </c>
      <c r="Y121" s="582" t="e">
        <f>VLOOKUP($D121,모델정보데이터!$AM$4:$BQ$398,11,0)</f>
        <v>#N/A</v>
      </c>
      <c r="Z121" s="582" t="e">
        <f>VLOOKUP($D121,모델정보데이터!$AM$4:$BQ$398,18,0)</f>
        <v>#N/A</v>
      </c>
      <c r="AA121" s="582" t="e">
        <f>VLOOKUP($D121,모델정보데이터!$AM$4:$BQ$398,12,0)</f>
        <v>#N/A</v>
      </c>
      <c r="AB121" s="583" t="e">
        <f>VLOOKUP($D121,모델정보데이터!$AM$4:$BQ$398,13,0)</f>
        <v>#N/A</v>
      </c>
      <c r="AC121" s="582" t="e">
        <f>VLOOKUP($D121,모델정보데이터!$AM$4:$BQ$398,17,0)</f>
        <v>#N/A</v>
      </c>
      <c r="AD121" s="582" t="e">
        <f>VLOOKUP($D121,모델정보데이터!$AM$4:$BQ$398,10,0)</f>
        <v>#N/A</v>
      </c>
      <c r="AE121" s="582">
        <f>IFERROR(VLOOKUP(D121,모델정보데이터!$AM$3:$BD$278,27,0),0)</f>
        <v>0</v>
      </c>
      <c r="AF121" s="1134" t="e">
        <f>VLOOKUP($D121,모델정보데이터!$AM$4:$BQ$398,14,0)</f>
        <v>#N/A</v>
      </c>
      <c r="AG121" s="260" t="e">
        <f>VLOOKUP($D121,모델정보데이터!AM:BQ,30,0)</f>
        <v>#N/A</v>
      </c>
      <c r="AH121" s="260" t="e">
        <f>VLOOKUP($D121,모델정보데이터!AM:BQ,31,0)</f>
        <v>#N/A</v>
      </c>
      <c r="AI121" s="260" t="e">
        <f>VLOOKUP($D121,모델정보데이터!AM:BQ,19,0)</f>
        <v>#N/A</v>
      </c>
      <c r="AJ121" s="69" t="e">
        <f>VLOOKUP($D121,모델정보데이터!AM:BQ,21,0)</f>
        <v>#N/A</v>
      </c>
      <c r="AK121" s="69" t="e">
        <f>VLOOKUP($D121,모델정보데이터!AM:BQ,22,0)</f>
        <v>#N/A</v>
      </c>
      <c r="AL121" s="69" t="e">
        <f>VLOOKUP($D121,모델정보데이터!AM:BQ,20,0)</f>
        <v>#N/A</v>
      </c>
      <c r="AM121" s="69" t="e">
        <f>VLOOKUP($D121,모델정보데이터!AM:BQ,23,0)</f>
        <v>#N/A</v>
      </c>
    </row>
    <row r="122" spans="3:39">
      <c r="C122" s="487"/>
      <c r="O122" s="259" t="e">
        <f>VLOOKUP($D122,모델정보데이터!$AM$4:$BQ$398,3,0)</f>
        <v>#N/A</v>
      </c>
      <c r="P122" s="582" t="e">
        <f>VLOOKUP($D122,모델정보데이터!$AM$4:$BQ$398,4,0)</f>
        <v>#N/A</v>
      </c>
      <c r="Q122" s="582" t="e">
        <f>VLOOKUP($D122,모델정보데이터!$AM$4:$BQ$398,5,0)</f>
        <v>#N/A</v>
      </c>
      <c r="R122" s="582" t="e">
        <f>VLOOKUP($D122,모델정보데이터!$AM$4:$BQ$398,6,0)</f>
        <v>#N/A</v>
      </c>
      <c r="S122" s="582" t="e">
        <f>VLOOKUP($D122,모델정보데이터!$AM$4:$BQ$398,7,0)</f>
        <v>#N/A</v>
      </c>
      <c r="T122" s="582" t="e">
        <f>VLOOKUP($D122,모델정보데이터!$AM$4:$BQ$398,15,0)</f>
        <v>#N/A</v>
      </c>
      <c r="U122" s="582" t="e">
        <f>VLOOKUP($D122,모델정보데이터!$AM$4:$BQ$398,16,0)</f>
        <v>#N/A</v>
      </c>
      <c r="V122" s="582" t="e">
        <f>VLOOKUP($D122,모델정보데이터!$AM$4:$BQ$398,8,0)</f>
        <v>#N/A</v>
      </c>
      <c r="W122" s="582" t="e">
        <f>VLOOKUP($D122,모델정보데이터!$AM$4:$BQ$398,9,0)</f>
        <v>#N/A</v>
      </c>
      <c r="X122" s="582" t="e">
        <f>VLOOKUP($D122,모델정보데이터!$AM$4:$BM$278,27,0)</f>
        <v>#N/A</v>
      </c>
      <c r="Y122" s="582" t="e">
        <f>VLOOKUP($D122,모델정보데이터!$AM$4:$BQ$398,11,0)</f>
        <v>#N/A</v>
      </c>
      <c r="Z122" s="582" t="e">
        <f>VLOOKUP($D122,모델정보데이터!$AM$4:$BQ$398,18,0)</f>
        <v>#N/A</v>
      </c>
      <c r="AA122" s="582" t="e">
        <f>VLOOKUP($D122,모델정보데이터!$AM$4:$BQ$398,12,0)</f>
        <v>#N/A</v>
      </c>
      <c r="AB122" s="583" t="e">
        <f>VLOOKUP($D122,모델정보데이터!$AM$4:$BQ$398,13,0)</f>
        <v>#N/A</v>
      </c>
      <c r="AC122" s="582" t="e">
        <f>VLOOKUP($D122,모델정보데이터!$AM$4:$BQ$398,17,0)</f>
        <v>#N/A</v>
      </c>
      <c r="AD122" s="582" t="e">
        <f>VLOOKUP($D122,모델정보데이터!$AM$4:$BQ$398,10,0)</f>
        <v>#N/A</v>
      </c>
      <c r="AE122" s="582">
        <f>IFERROR(VLOOKUP(D122,모델정보데이터!$AM$3:$BD$278,27,0),0)</f>
        <v>0</v>
      </c>
      <c r="AF122" s="1134" t="e">
        <f>VLOOKUP($D122,모델정보데이터!$AM$4:$BQ$398,14,0)</f>
        <v>#N/A</v>
      </c>
      <c r="AG122" s="260" t="e">
        <f>VLOOKUP($D122,모델정보데이터!AM:BQ,30,0)</f>
        <v>#N/A</v>
      </c>
      <c r="AH122" s="260" t="e">
        <f>VLOOKUP($D122,모델정보데이터!AM:BQ,31,0)</f>
        <v>#N/A</v>
      </c>
      <c r="AI122" s="260" t="e">
        <f>VLOOKUP($D122,모델정보데이터!AM:BQ,19,0)</f>
        <v>#N/A</v>
      </c>
      <c r="AJ122" s="69" t="e">
        <f>VLOOKUP($D122,모델정보데이터!AM:BQ,21,0)</f>
        <v>#N/A</v>
      </c>
      <c r="AK122" s="69" t="e">
        <f>VLOOKUP($D122,모델정보데이터!AM:BQ,22,0)</f>
        <v>#N/A</v>
      </c>
      <c r="AL122" s="69" t="e">
        <f>VLOOKUP($D122,모델정보데이터!AM:BQ,20,0)</f>
        <v>#N/A</v>
      </c>
      <c r="AM122" s="69" t="e">
        <f>VLOOKUP($D122,모델정보데이터!AM:BQ,23,0)</f>
        <v>#N/A</v>
      </c>
    </row>
    <row r="123" spans="3:39">
      <c r="C123" s="487"/>
      <c r="O123" s="259" t="e">
        <f>VLOOKUP($D123,모델정보데이터!$AM$4:$BQ$398,3,0)</f>
        <v>#N/A</v>
      </c>
      <c r="P123" s="582" t="e">
        <f>VLOOKUP($D123,모델정보데이터!$AM$4:$BQ$398,4,0)</f>
        <v>#N/A</v>
      </c>
      <c r="Q123" s="582" t="e">
        <f>VLOOKUP($D123,모델정보데이터!$AM$4:$BQ$398,5,0)</f>
        <v>#N/A</v>
      </c>
      <c r="R123" s="582" t="e">
        <f>VLOOKUP($D123,모델정보데이터!$AM$4:$BQ$398,6,0)</f>
        <v>#N/A</v>
      </c>
      <c r="S123" s="582" t="e">
        <f>VLOOKUP($D123,모델정보데이터!$AM$4:$BQ$398,7,0)</f>
        <v>#N/A</v>
      </c>
      <c r="T123" s="582" t="e">
        <f>VLOOKUP($D123,모델정보데이터!$AM$4:$BQ$398,15,0)</f>
        <v>#N/A</v>
      </c>
      <c r="U123" s="582" t="e">
        <f>VLOOKUP($D123,모델정보데이터!$AM$4:$BQ$398,16,0)</f>
        <v>#N/A</v>
      </c>
      <c r="V123" s="582" t="e">
        <f>VLOOKUP($D123,모델정보데이터!$AM$4:$BQ$398,8,0)</f>
        <v>#N/A</v>
      </c>
      <c r="W123" s="582" t="e">
        <f>VLOOKUP($D123,모델정보데이터!$AM$4:$BQ$398,9,0)</f>
        <v>#N/A</v>
      </c>
      <c r="X123" s="582" t="e">
        <f>VLOOKUP($D123,모델정보데이터!$AM$4:$BM$278,27,0)</f>
        <v>#N/A</v>
      </c>
      <c r="Y123" s="582" t="e">
        <f>VLOOKUP($D123,모델정보데이터!$AM$4:$BQ$398,11,0)</f>
        <v>#N/A</v>
      </c>
      <c r="Z123" s="582" t="e">
        <f>VLOOKUP($D123,모델정보데이터!$AM$4:$BQ$398,18,0)</f>
        <v>#N/A</v>
      </c>
      <c r="AA123" s="582" t="e">
        <f>VLOOKUP($D123,모델정보데이터!$AM$4:$BQ$398,12,0)</f>
        <v>#N/A</v>
      </c>
      <c r="AB123" s="583" t="e">
        <f>VLOOKUP($D123,모델정보데이터!$AM$4:$BQ$398,13,0)</f>
        <v>#N/A</v>
      </c>
      <c r="AC123" s="582" t="e">
        <f>VLOOKUP($D123,모델정보데이터!$AM$4:$BQ$398,17,0)</f>
        <v>#N/A</v>
      </c>
      <c r="AD123" s="582" t="e">
        <f>VLOOKUP($D123,모델정보데이터!$AM$4:$BQ$398,10,0)</f>
        <v>#N/A</v>
      </c>
      <c r="AE123" s="582">
        <f>IFERROR(VLOOKUP(D123,모델정보데이터!$AM$3:$BD$278,27,0),0)</f>
        <v>0</v>
      </c>
      <c r="AF123" s="1134" t="e">
        <f>VLOOKUP($D123,모델정보데이터!$AM$4:$BQ$398,14,0)</f>
        <v>#N/A</v>
      </c>
      <c r="AG123" s="260" t="e">
        <f>VLOOKUP($D123,모델정보데이터!AM:BQ,30,0)</f>
        <v>#N/A</v>
      </c>
      <c r="AH123" s="260" t="e">
        <f>VLOOKUP($D123,모델정보데이터!AM:BQ,31,0)</f>
        <v>#N/A</v>
      </c>
      <c r="AI123" s="260" t="e">
        <f>VLOOKUP($D123,모델정보데이터!AM:BQ,19,0)</f>
        <v>#N/A</v>
      </c>
      <c r="AJ123" s="69" t="e">
        <f>VLOOKUP($D123,모델정보데이터!AM:BQ,21,0)</f>
        <v>#N/A</v>
      </c>
      <c r="AK123" s="69" t="e">
        <f>VLOOKUP($D123,모델정보데이터!AM:BQ,22,0)</f>
        <v>#N/A</v>
      </c>
      <c r="AL123" s="69" t="e">
        <f>VLOOKUP($D123,모델정보데이터!AM:BQ,20,0)</f>
        <v>#N/A</v>
      </c>
      <c r="AM123" s="69" t="e">
        <f>VLOOKUP($D123,모델정보데이터!AM:BQ,23,0)</f>
        <v>#N/A</v>
      </c>
    </row>
    <row r="124" spans="3:39">
      <c r="C124" s="487"/>
      <c r="O124" s="259" t="e">
        <f>VLOOKUP($D124,모델정보데이터!$AM$4:$BQ$398,3,0)</f>
        <v>#N/A</v>
      </c>
      <c r="P124" s="582" t="e">
        <f>VLOOKUP($D124,모델정보데이터!$AM$4:$BQ$398,4,0)</f>
        <v>#N/A</v>
      </c>
      <c r="Q124" s="582" t="e">
        <f>VLOOKUP($D124,모델정보데이터!$AM$4:$BQ$398,5,0)</f>
        <v>#N/A</v>
      </c>
      <c r="R124" s="582" t="e">
        <f>VLOOKUP($D124,모델정보데이터!$AM$4:$BQ$398,6,0)</f>
        <v>#N/A</v>
      </c>
      <c r="S124" s="582" t="e">
        <f>VLOOKUP($D124,모델정보데이터!$AM$4:$BQ$398,7,0)</f>
        <v>#N/A</v>
      </c>
      <c r="T124" s="582" t="e">
        <f>VLOOKUP($D124,모델정보데이터!$AM$4:$BQ$398,15,0)</f>
        <v>#N/A</v>
      </c>
      <c r="U124" s="582" t="e">
        <f>VLOOKUP($D124,모델정보데이터!$AM$4:$BQ$398,16,0)</f>
        <v>#N/A</v>
      </c>
      <c r="V124" s="582" t="e">
        <f>VLOOKUP($D124,모델정보데이터!$AM$4:$BQ$398,8,0)</f>
        <v>#N/A</v>
      </c>
      <c r="W124" s="582" t="e">
        <f>VLOOKUP($D124,모델정보데이터!$AM$4:$BQ$398,9,0)</f>
        <v>#N/A</v>
      </c>
      <c r="X124" s="582" t="e">
        <f>VLOOKUP($D124,모델정보데이터!$AM$4:$BM$278,27,0)</f>
        <v>#N/A</v>
      </c>
      <c r="Y124" s="582" t="e">
        <f>VLOOKUP($D124,모델정보데이터!$AM$4:$BQ$398,11,0)</f>
        <v>#N/A</v>
      </c>
      <c r="Z124" s="582" t="e">
        <f>VLOOKUP($D124,모델정보데이터!$AM$4:$BQ$398,18,0)</f>
        <v>#N/A</v>
      </c>
      <c r="AA124" s="582" t="e">
        <f>VLOOKUP($D124,모델정보데이터!$AM$4:$BQ$398,12,0)</f>
        <v>#N/A</v>
      </c>
      <c r="AB124" s="583" t="e">
        <f>VLOOKUP($D124,모델정보데이터!$AM$4:$BQ$398,13,0)</f>
        <v>#N/A</v>
      </c>
      <c r="AC124" s="582" t="e">
        <f>VLOOKUP($D124,모델정보데이터!$AM$4:$BQ$398,17,0)</f>
        <v>#N/A</v>
      </c>
      <c r="AD124" s="582" t="e">
        <f>VLOOKUP($D124,모델정보데이터!$AM$4:$BQ$398,10,0)</f>
        <v>#N/A</v>
      </c>
      <c r="AE124" s="582">
        <f>IFERROR(VLOOKUP(D124,모델정보데이터!$AM$3:$BD$278,27,0),0)</f>
        <v>0</v>
      </c>
      <c r="AF124" s="1134" t="e">
        <f>VLOOKUP($D124,모델정보데이터!$AM$4:$BQ$398,14,0)</f>
        <v>#N/A</v>
      </c>
      <c r="AG124" s="260" t="e">
        <f>VLOOKUP($D124,모델정보데이터!AM:BQ,30,0)</f>
        <v>#N/A</v>
      </c>
      <c r="AH124" s="260" t="e">
        <f>VLOOKUP($D124,모델정보데이터!AM:BQ,31,0)</f>
        <v>#N/A</v>
      </c>
      <c r="AI124" s="260" t="e">
        <f>VLOOKUP($D124,모델정보데이터!AM:BQ,19,0)</f>
        <v>#N/A</v>
      </c>
      <c r="AJ124" s="69" t="e">
        <f>VLOOKUP($D124,모델정보데이터!AM:BQ,21,0)</f>
        <v>#N/A</v>
      </c>
      <c r="AK124" s="69" t="e">
        <f>VLOOKUP($D124,모델정보데이터!AM:BQ,22,0)</f>
        <v>#N/A</v>
      </c>
      <c r="AL124" s="69" t="e">
        <f>VLOOKUP($D124,모델정보데이터!AM:BQ,20,0)</f>
        <v>#N/A</v>
      </c>
      <c r="AM124" s="69" t="e">
        <f>VLOOKUP($D124,모델정보데이터!AM:BQ,23,0)</f>
        <v>#N/A</v>
      </c>
    </row>
    <row r="125" spans="3:39">
      <c r="C125" s="487"/>
      <c r="O125" s="259" t="e">
        <f>VLOOKUP($D125,모델정보데이터!$AM$4:$BQ$398,3,0)</f>
        <v>#N/A</v>
      </c>
      <c r="P125" s="582" t="e">
        <f>VLOOKUP($D125,모델정보데이터!$AM$4:$BQ$398,4,0)</f>
        <v>#N/A</v>
      </c>
      <c r="Q125" s="582" t="e">
        <f>VLOOKUP($D125,모델정보데이터!$AM$4:$BQ$398,5,0)</f>
        <v>#N/A</v>
      </c>
      <c r="R125" s="582" t="e">
        <f>VLOOKUP($D125,모델정보데이터!$AM$4:$BQ$398,6,0)</f>
        <v>#N/A</v>
      </c>
      <c r="S125" s="582" t="e">
        <f>VLOOKUP($D125,모델정보데이터!$AM$4:$BQ$398,7,0)</f>
        <v>#N/A</v>
      </c>
      <c r="T125" s="582" t="e">
        <f>VLOOKUP($D125,모델정보데이터!$AM$4:$BQ$398,15,0)</f>
        <v>#N/A</v>
      </c>
      <c r="U125" s="582" t="e">
        <f>VLOOKUP($D125,모델정보데이터!$AM$4:$BQ$398,16,0)</f>
        <v>#N/A</v>
      </c>
      <c r="V125" s="582" t="e">
        <f>VLOOKUP($D125,모델정보데이터!$AM$4:$BQ$398,8,0)</f>
        <v>#N/A</v>
      </c>
      <c r="W125" s="582" t="e">
        <f>VLOOKUP($D125,모델정보데이터!$AM$4:$BQ$398,9,0)</f>
        <v>#N/A</v>
      </c>
      <c r="X125" s="582" t="e">
        <f>VLOOKUP($D125,모델정보데이터!$AM$4:$BM$278,27,0)</f>
        <v>#N/A</v>
      </c>
      <c r="Y125" s="582" t="e">
        <f>VLOOKUP($D125,모델정보데이터!$AM$4:$BQ$398,11,0)</f>
        <v>#N/A</v>
      </c>
      <c r="Z125" s="582" t="e">
        <f>VLOOKUP($D125,모델정보데이터!$AM$4:$BQ$398,18,0)</f>
        <v>#N/A</v>
      </c>
      <c r="AA125" s="582" t="e">
        <f>VLOOKUP($D125,모델정보데이터!$AM$4:$BQ$398,12,0)</f>
        <v>#N/A</v>
      </c>
      <c r="AB125" s="583" t="e">
        <f>VLOOKUP($D125,모델정보데이터!$AM$4:$BQ$398,13,0)</f>
        <v>#N/A</v>
      </c>
      <c r="AC125" s="582" t="e">
        <f>VLOOKUP($D125,모델정보데이터!$AM$4:$BQ$398,17,0)</f>
        <v>#N/A</v>
      </c>
      <c r="AD125" s="582" t="e">
        <f>VLOOKUP($D125,모델정보데이터!$AM$4:$BQ$398,10,0)</f>
        <v>#N/A</v>
      </c>
      <c r="AE125" s="582">
        <f>IFERROR(VLOOKUP(D125,모델정보데이터!$AM$3:$BD$278,27,0),0)</f>
        <v>0</v>
      </c>
      <c r="AF125" s="1134" t="e">
        <f>VLOOKUP($D125,모델정보데이터!$AM$4:$BQ$398,14,0)</f>
        <v>#N/A</v>
      </c>
      <c r="AG125" s="260" t="e">
        <f>VLOOKUP($D125,모델정보데이터!AM:BQ,30,0)</f>
        <v>#N/A</v>
      </c>
      <c r="AH125" s="260" t="e">
        <f>VLOOKUP($D125,모델정보데이터!AM:BQ,31,0)</f>
        <v>#N/A</v>
      </c>
      <c r="AI125" s="260" t="e">
        <f>VLOOKUP($D125,모델정보데이터!AM:BQ,19,0)</f>
        <v>#N/A</v>
      </c>
      <c r="AJ125" s="69" t="e">
        <f>VLOOKUP($D125,모델정보데이터!AM:BQ,21,0)</f>
        <v>#N/A</v>
      </c>
      <c r="AK125" s="69" t="e">
        <f>VLOOKUP($D125,모델정보데이터!AM:BQ,22,0)</f>
        <v>#N/A</v>
      </c>
      <c r="AL125" s="69" t="e">
        <f>VLOOKUP($D125,모델정보데이터!AM:BQ,20,0)</f>
        <v>#N/A</v>
      </c>
      <c r="AM125" s="69" t="e">
        <f>VLOOKUP($D125,모델정보데이터!AM:BQ,23,0)</f>
        <v>#N/A</v>
      </c>
    </row>
    <row r="126" spans="3:39">
      <c r="C126" s="487"/>
      <c r="O126" s="259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82"/>
      <c r="AB126" s="260"/>
      <c r="AC126" s="582"/>
      <c r="AD126" s="582"/>
      <c r="AE126" s="582"/>
      <c r="AI126" s="260"/>
    </row>
    <row r="127" spans="3:39">
      <c r="C127" s="487"/>
      <c r="O127" s="259"/>
      <c r="P127" s="582"/>
      <c r="Q127" s="582"/>
      <c r="R127" s="582"/>
      <c r="S127" s="582"/>
      <c r="T127" s="582"/>
      <c r="U127" s="582"/>
      <c r="V127" s="582"/>
      <c r="W127" s="582"/>
      <c r="X127" s="582"/>
      <c r="Y127" s="582"/>
      <c r="Z127" s="582"/>
      <c r="AA127" s="582"/>
      <c r="AB127" s="260"/>
      <c r="AC127" s="582"/>
      <c r="AD127" s="582"/>
      <c r="AE127" s="582"/>
      <c r="AI127" s="260"/>
    </row>
    <row r="128" spans="3:39">
      <c r="C128" s="487"/>
      <c r="O128" s="259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82"/>
      <c r="AB128" s="260"/>
      <c r="AC128" s="582"/>
      <c r="AD128" s="582"/>
      <c r="AE128" s="582"/>
      <c r="AI128" s="260"/>
    </row>
    <row r="129" spans="3:35">
      <c r="C129" s="487"/>
      <c r="O129" s="259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82"/>
      <c r="AB129" s="260"/>
      <c r="AC129" s="582"/>
      <c r="AD129" s="582"/>
      <c r="AE129" s="582"/>
      <c r="AI129" s="260"/>
    </row>
    <row r="130" spans="3:35">
      <c r="C130" s="487"/>
      <c r="O130" s="259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82"/>
      <c r="AB130" s="260"/>
      <c r="AC130" s="582"/>
      <c r="AD130" s="582"/>
      <c r="AE130" s="582"/>
      <c r="AI130" s="260"/>
    </row>
    <row r="131" spans="3:35">
      <c r="C131" s="487"/>
      <c r="O131" s="259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82"/>
      <c r="AB131" s="260"/>
      <c r="AC131" s="582"/>
      <c r="AD131" s="582"/>
      <c r="AE131" s="582"/>
      <c r="AI131" s="260"/>
    </row>
    <row r="132" spans="3:35">
      <c r="C132" s="487"/>
      <c r="D132" s="267" t="str">
        <f ca="1">IF(OFFSET($D$2,130,$B$2)=0,"",OFFSET($D$2,130,$B$2))</f>
        <v/>
      </c>
      <c r="O132" s="259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82"/>
      <c r="AB132" s="260"/>
      <c r="AC132" s="582"/>
      <c r="AD132" s="582"/>
      <c r="AE132" s="582"/>
      <c r="AI132" s="260"/>
    </row>
    <row r="133" spans="3:35">
      <c r="C133" s="487"/>
      <c r="O133" s="259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82"/>
      <c r="AB133" s="260"/>
      <c r="AC133" s="582"/>
      <c r="AD133" s="582"/>
      <c r="AE133" s="582"/>
      <c r="AI133" s="260"/>
    </row>
    <row r="134" spans="3:35">
      <c r="C134" s="487"/>
      <c r="O134" s="259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82"/>
      <c r="AB134" s="260"/>
      <c r="AC134" s="582"/>
      <c r="AD134" s="582"/>
      <c r="AE134" s="582"/>
      <c r="AI134" s="260"/>
    </row>
    <row r="135" spans="3:35">
      <c r="C135" s="487"/>
      <c r="O135" s="259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82"/>
      <c r="AB135" s="260"/>
      <c r="AC135" s="582"/>
      <c r="AD135" s="582"/>
      <c r="AE135" s="582"/>
      <c r="AI135" s="260"/>
    </row>
    <row r="136" spans="3:35">
      <c r="O136" s="259"/>
      <c r="P136" s="582"/>
      <c r="Q136" s="582"/>
      <c r="R136" s="582"/>
      <c r="S136" s="582"/>
      <c r="T136" s="582"/>
      <c r="U136" s="582"/>
      <c r="V136" s="582"/>
      <c r="W136" s="582"/>
      <c r="X136" s="582"/>
      <c r="Y136" s="582"/>
      <c r="Z136" s="582"/>
      <c r="AA136" s="582"/>
      <c r="AB136" s="260"/>
      <c r="AC136" s="582"/>
      <c r="AD136" s="582"/>
      <c r="AE136" s="582"/>
      <c r="AI136" s="260"/>
    </row>
    <row r="137" spans="3:35">
      <c r="O137" s="259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82"/>
      <c r="AB137" s="260"/>
      <c r="AC137" s="582"/>
      <c r="AD137" s="582"/>
      <c r="AE137" s="582"/>
      <c r="AI137" s="260"/>
    </row>
    <row r="138" spans="3:35">
      <c r="O138" s="259"/>
      <c r="P138" s="582"/>
      <c r="Q138" s="582"/>
      <c r="R138" s="582"/>
      <c r="S138" s="582"/>
      <c r="T138" s="582"/>
      <c r="U138" s="582"/>
      <c r="V138" s="582"/>
      <c r="W138" s="582"/>
      <c r="X138" s="582"/>
      <c r="Y138" s="582"/>
      <c r="Z138" s="582"/>
      <c r="AA138" s="582"/>
      <c r="AB138" s="260"/>
      <c r="AC138" s="582"/>
      <c r="AD138" s="582"/>
      <c r="AE138" s="582"/>
      <c r="AI138" s="260"/>
    </row>
    <row r="139" spans="3:35">
      <c r="O139" s="259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82"/>
      <c r="AB139" s="260"/>
      <c r="AC139" s="582"/>
      <c r="AD139" s="582"/>
      <c r="AE139" s="582"/>
      <c r="AI139" s="260"/>
    </row>
    <row r="140" spans="3:35">
      <c r="O140" s="259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82"/>
      <c r="AB140" s="260"/>
      <c r="AC140" s="582"/>
      <c r="AD140" s="582"/>
      <c r="AE140" s="582"/>
      <c r="AI140" s="260"/>
    </row>
    <row r="141" spans="3:35">
      <c r="O141" s="259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82"/>
      <c r="AB141" s="260"/>
      <c r="AC141" s="582"/>
      <c r="AD141" s="582"/>
      <c r="AE141" s="582"/>
      <c r="AI141" s="260"/>
    </row>
    <row r="142" spans="3:35">
      <c r="O142" s="259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82"/>
      <c r="AB142" s="260"/>
      <c r="AC142" s="582"/>
      <c r="AD142" s="582"/>
      <c r="AE142" s="582"/>
      <c r="AI142" s="260"/>
    </row>
    <row r="143" spans="3:35">
      <c r="O143" s="259"/>
      <c r="P143" s="582"/>
      <c r="Q143" s="582"/>
      <c r="R143" s="582"/>
      <c r="S143" s="582"/>
      <c r="T143" s="582"/>
      <c r="U143" s="582"/>
      <c r="V143" s="582"/>
      <c r="W143" s="582"/>
      <c r="X143" s="582"/>
      <c r="Y143" s="582"/>
      <c r="Z143" s="582"/>
      <c r="AA143" s="582"/>
      <c r="AB143" s="260"/>
      <c r="AC143" s="582"/>
      <c r="AD143" s="582"/>
      <c r="AE143" s="582"/>
      <c r="AI143" s="260"/>
    </row>
    <row r="144" spans="3:35">
      <c r="O144" s="259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82"/>
      <c r="AB144" s="260"/>
      <c r="AC144" s="582"/>
      <c r="AD144" s="582"/>
      <c r="AE144" s="582"/>
      <c r="AI144" s="260"/>
    </row>
    <row r="145" spans="15:35">
      <c r="O145" s="259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82"/>
      <c r="AB145" s="260"/>
      <c r="AC145" s="582"/>
      <c r="AD145" s="582"/>
      <c r="AE145" s="582"/>
      <c r="AI145" s="260"/>
    </row>
    <row r="146" spans="15:35">
      <c r="O146" s="259"/>
      <c r="P146" s="582"/>
      <c r="Q146" s="582"/>
      <c r="R146" s="582"/>
      <c r="S146" s="582"/>
      <c r="T146" s="582"/>
      <c r="U146" s="582"/>
      <c r="V146" s="582"/>
      <c r="W146" s="582"/>
      <c r="X146" s="582"/>
      <c r="Y146" s="582"/>
      <c r="Z146" s="582"/>
      <c r="AA146" s="582"/>
      <c r="AB146" s="260"/>
      <c r="AC146" s="582"/>
      <c r="AD146" s="582"/>
      <c r="AE146" s="582"/>
      <c r="AI146" s="260"/>
    </row>
    <row r="147" spans="15:35">
      <c r="O147" s="259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82"/>
      <c r="AB147" s="260"/>
      <c r="AC147" s="582"/>
      <c r="AD147" s="582"/>
      <c r="AE147" s="582"/>
      <c r="AI147" s="260"/>
    </row>
    <row r="148" spans="15:35">
      <c r="O148" s="259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82"/>
      <c r="AB148" s="260"/>
      <c r="AC148" s="582"/>
      <c r="AD148" s="582"/>
      <c r="AE148" s="582"/>
      <c r="AI148" s="260"/>
    </row>
    <row r="149" spans="15:35">
      <c r="O149" s="259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82"/>
      <c r="AB149" s="260"/>
      <c r="AC149" s="582"/>
      <c r="AD149" s="582"/>
      <c r="AE149" s="582"/>
      <c r="AI149" s="260"/>
    </row>
    <row r="150" spans="15:35">
      <c r="O150" s="259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82"/>
      <c r="AB150" s="260"/>
      <c r="AC150" s="582"/>
      <c r="AD150" s="582"/>
      <c r="AE150" s="582"/>
      <c r="AI150" s="260"/>
    </row>
    <row r="151" spans="15:35">
      <c r="O151" s="259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582"/>
      <c r="AB151" s="260"/>
      <c r="AC151" s="582"/>
      <c r="AD151" s="582"/>
      <c r="AE151" s="582"/>
      <c r="AI151" s="260"/>
    </row>
    <row r="152" spans="15:35">
      <c r="O152" s="259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82"/>
      <c r="AB152" s="260"/>
      <c r="AC152" s="582"/>
      <c r="AD152" s="582"/>
      <c r="AE152" s="582"/>
      <c r="AI152" s="260"/>
    </row>
    <row r="153" spans="15:35">
      <c r="O153" s="259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82"/>
      <c r="AB153" s="260"/>
      <c r="AC153" s="582"/>
      <c r="AD153" s="582"/>
      <c r="AE153" s="582"/>
      <c r="AI153" s="260"/>
    </row>
    <row r="154" spans="15:35">
      <c r="O154" s="259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82"/>
      <c r="AB154" s="260"/>
      <c r="AC154" s="582"/>
      <c r="AD154" s="582"/>
      <c r="AE154" s="582"/>
      <c r="AI154" s="260"/>
    </row>
    <row r="155" spans="15:35">
      <c r="O155" s="259"/>
      <c r="P155" s="582"/>
      <c r="Q155" s="582"/>
      <c r="R155" s="582"/>
      <c r="S155" s="582"/>
      <c r="T155" s="582"/>
      <c r="U155" s="582"/>
      <c r="V155" s="582"/>
      <c r="W155" s="582"/>
      <c r="X155" s="582"/>
      <c r="Y155" s="582"/>
      <c r="Z155" s="582"/>
      <c r="AA155" s="582"/>
      <c r="AB155" s="260"/>
      <c r="AC155" s="582"/>
      <c r="AD155" s="582"/>
      <c r="AE155" s="582"/>
      <c r="AI155" s="260"/>
    </row>
    <row r="156" spans="15:35">
      <c r="O156" s="259"/>
      <c r="P156" s="582"/>
      <c r="Q156" s="582"/>
      <c r="R156" s="582"/>
      <c r="S156" s="582"/>
      <c r="T156" s="582"/>
      <c r="U156" s="582"/>
      <c r="V156" s="582"/>
      <c r="W156" s="582"/>
      <c r="X156" s="582"/>
      <c r="Y156" s="582"/>
      <c r="Z156" s="582"/>
      <c r="AA156" s="582"/>
      <c r="AB156" s="260"/>
      <c r="AC156" s="582"/>
      <c r="AD156" s="582"/>
      <c r="AE156" s="582"/>
      <c r="AI156" s="260"/>
    </row>
    <row r="157" spans="15:35">
      <c r="O157" s="259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82"/>
      <c r="AB157" s="260"/>
      <c r="AC157" s="582"/>
      <c r="AD157" s="582"/>
      <c r="AE157" s="582"/>
      <c r="AI157" s="260"/>
    </row>
    <row r="158" spans="15:35">
      <c r="O158" s="259"/>
      <c r="P158" s="582"/>
      <c r="Q158" s="582"/>
      <c r="R158" s="582"/>
      <c r="S158" s="582"/>
      <c r="T158" s="582"/>
      <c r="U158" s="582"/>
      <c r="V158" s="582"/>
      <c r="W158" s="582"/>
      <c r="X158" s="582"/>
      <c r="Y158" s="582"/>
      <c r="Z158" s="582"/>
      <c r="AA158" s="582"/>
      <c r="AB158" s="260"/>
      <c r="AC158" s="582"/>
      <c r="AD158" s="582"/>
      <c r="AE158" s="582"/>
      <c r="AI158" s="260"/>
    </row>
    <row r="159" spans="15:35">
      <c r="O159" s="259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82"/>
      <c r="AB159" s="260"/>
      <c r="AC159" s="582"/>
      <c r="AD159" s="582"/>
      <c r="AE159" s="582"/>
      <c r="AI159" s="260"/>
    </row>
    <row r="160" spans="15:35">
      <c r="O160" s="259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82"/>
      <c r="AB160" s="260"/>
      <c r="AC160" s="582"/>
      <c r="AD160" s="582"/>
      <c r="AE160" s="582"/>
      <c r="AI160" s="260"/>
    </row>
    <row r="161" spans="15:35">
      <c r="O161" s="259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82"/>
      <c r="AB161" s="260"/>
      <c r="AC161" s="582"/>
      <c r="AD161" s="582"/>
      <c r="AE161" s="582"/>
      <c r="AI161" s="260"/>
    </row>
    <row r="162" spans="15:35">
      <c r="O162" s="259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82"/>
      <c r="AB162" s="260"/>
      <c r="AC162" s="582"/>
      <c r="AD162" s="582"/>
      <c r="AE162" s="582"/>
      <c r="AI162" s="260"/>
    </row>
    <row r="163" spans="15:35">
      <c r="O163" s="259"/>
      <c r="P163" s="582"/>
      <c r="Q163" s="582"/>
      <c r="R163" s="582"/>
      <c r="S163" s="582"/>
      <c r="T163" s="582"/>
      <c r="U163" s="582"/>
      <c r="V163" s="582"/>
      <c r="W163" s="582"/>
      <c r="X163" s="582"/>
      <c r="Y163" s="582"/>
      <c r="Z163" s="582"/>
      <c r="AA163" s="582"/>
      <c r="AB163" s="260"/>
      <c r="AC163" s="582"/>
      <c r="AD163" s="582"/>
      <c r="AE163" s="582"/>
      <c r="AI163" s="260"/>
    </row>
    <row r="164" spans="15:35">
      <c r="O164" s="259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82"/>
      <c r="AB164" s="260"/>
      <c r="AC164" s="582"/>
      <c r="AD164" s="582"/>
      <c r="AE164" s="582"/>
      <c r="AI164" s="260"/>
    </row>
    <row r="165" spans="15:35">
      <c r="O165" s="259"/>
      <c r="P165" s="582"/>
      <c r="Q165" s="582"/>
      <c r="R165" s="582"/>
      <c r="S165" s="582"/>
      <c r="T165" s="582"/>
      <c r="U165" s="582"/>
      <c r="V165" s="582"/>
      <c r="W165" s="582"/>
      <c r="X165" s="582"/>
      <c r="Y165" s="582"/>
      <c r="Z165" s="582"/>
      <c r="AA165" s="582"/>
      <c r="AB165" s="260"/>
      <c r="AC165" s="582"/>
      <c r="AD165" s="582"/>
      <c r="AE165" s="582"/>
      <c r="AI165" s="260"/>
    </row>
    <row r="166" spans="15:35">
      <c r="O166" s="259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82"/>
      <c r="AB166" s="260"/>
      <c r="AC166" s="582"/>
      <c r="AD166" s="582"/>
      <c r="AE166" s="582"/>
      <c r="AI166" s="260"/>
    </row>
    <row r="167" spans="15:35">
      <c r="O167" s="259"/>
      <c r="P167" s="582"/>
      <c r="Q167" s="582"/>
      <c r="R167" s="582"/>
      <c r="S167" s="582"/>
      <c r="T167" s="582"/>
      <c r="U167" s="582"/>
      <c r="V167" s="582"/>
      <c r="W167" s="582"/>
      <c r="X167" s="582"/>
      <c r="Y167" s="582"/>
      <c r="Z167" s="582"/>
      <c r="AA167" s="582"/>
      <c r="AB167" s="260"/>
      <c r="AC167" s="582"/>
      <c r="AD167" s="582"/>
      <c r="AE167" s="582"/>
      <c r="AI167" s="260"/>
    </row>
    <row r="168" spans="15:35">
      <c r="O168" s="259"/>
      <c r="P168" s="582"/>
      <c r="Q168" s="582"/>
      <c r="R168" s="582"/>
      <c r="S168" s="582"/>
      <c r="T168" s="582"/>
      <c r="U168" s="582"/>
      <c r="V168" s="582"/>
      <c r="W168" s="582"/>
      <c r="X168" s="582"/>
      <c r="Y168" s="582"/>
      <c r="Z168" s="582"/>
      <c r="AA168" s="582"/>
      <c r="AB168" s="260"/>
      <c r="AC168" s="582"/>
      <c r="AD168" s="582"/>
      <c r="AE168" s="582"/>
      <c r="AI168" s="260"/>
    </row>
    <row r="169" spans="15:35">
      <c r="O169" s="259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82"/>
      <c r="AB169" s="260"/>
      <c r="AC169" s="582"/>
      <c r="AD169" s="582"/>
      <c r="AE169" s="582"/>
      <c r="AI169" s="260"/>
    </row>
    <row r="170" spans="15:35">
      <c r="O170" s="259"/>
      <c r="P170" s="582"/>
      <c r="Q170" s="582"/>
      <c r="R170" s="582"/>
      <c r="S170" s="582"/>
      <c r="T170" s="582"/>
      <c r="U170" s="582"/>
      <c r="V170" s="582"/>
      <c r="W170" s="582"/>
      <c r="X170" s="582"/>
      <c r="Y170" s="582"/>
      <c r="Z170" s="582"/>
      <c r="AA170" s="582"/>
      <c r="AB170" s="260"/>
      <c r="AC170" s="582"/>
      <c r="AD170" s="582"/>
      <c r="AE170" s="582"/>
      <c r="AI170" s="260"/>
    </row>
    <row r="171" spans="15:35">
      <c r="O171" s="259"/>
      <c r="P171" s="582"/>
      <c r="Q171" s="582"/>
      <c r="R171" s="582"/>
      <c r="S171" s="582"/>
      <c r="T171" s="582"/>
      <c r="U171" s="582"/>
      <c r="V171" s="582"/>
      <c r="W171" s="582"/>
      <c r="X171" s="582"/>
      <c r="Y171" s="582"/>
      <c r="Z171" s="582"/>
      <c r="AA171" s="582"/>
      <c r="AB171" s="260"/>
      <c r="AC171" s="582"/>
      <c r="AD171" s="582"/>
      <c r="AE171" s="582"/>
      <c r="AI171" s="260"/>
    </row>
    <row r="172" spans="15:35">
      <c r="O172" s="259"/>
      <c r="P172" s="582"/>
      <c r="Q172" s="582"/>
      <c r="R172" s="582"/>
      <c r="S172" s="582"/>
      <c r="T172" s="582"/>
      <c r="U172" s="582"/>
      <c r="V172" s="582"/>
      <c r="W172" s="582"/>
      <c r="X172" s="582"/>
      <c r="Y172" s="582"/>
      <c r="Z172" s="582"/>
      <c r="AA172" s="582"/>
      <c r="AB172" s="260"/>
      <c r="AC172" s="582"/>
      <c r="AD172" s="582"/>
      <c r="AE172" s="582"/>
      <c r="AI172" s="260"/>
    </row>
    <row r="173" spans="15:35">
      <c r="O173" s="259"/>
      <c r="P173" s="582"/>
      <c r="Q173" s="582"/>
      <c r="R173" s="582"/>
      <c r="S173" s="582"/>
      <c r="T173" s="582"/>
      <c r="U173" s="582"/>
      <c r="V173" s="582"/>
      <c r="W173" s="582"/>
      <c r="X173" s="582"/>
      <c r="Y173" s="582"/>
      <c r="Z173" s="582"/>
      <c r="AA173" s="582"/>
      <c r="AB173" s="260"/>
      <c r="AC173" s="582"/>
      <c r="AD173" s="582"/>
      <c r="AE173" s="582"/>
      <c r="AI173" s="260"/>
    </row>
    <row r="174" spans="15:35">
      <c r="O174" s="259"/>
      <c r="P174" s="582"/>
      <c r="Q174" s="582"/>
      <c r="R174" s="582"/>
      <c r="S174" s="582"/>
      <c r="T174" s="582"/>
      <c r="U174" s="582"/>
      <c r="V174" s="582"/>
      <c r="W174" s="582"/>
      <c r="X174" s="582"/>
      <c r="Y174" s="582"/>
      <c r="Z174" s="582"/>
      <c r="AA174" s="582"/>
      <c r="AB174" s="260"/>
      <c r="AC174" s="582"/>
      <c r="AD174" s="582"/>
      <c r="AE174" s="582"/>
      <c r="AI174" s="260"/>
    </row>
    <row r="175" spans="15:35">
      <c r="O175" s="259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82"/>
      <c r="AB175" s="260"/>
      <c r="AC175" s="582"/>
      <c r="AD175" s="582"/>
      <c r="AE175" s="582"/>
      <c r="AI175" s="260"/>
    </row>
    <row r="176" spans="15:35">
      <c r="O176" s="259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82"/>
      <c r="AB176" s="260"/>
      <c r="AC176" s="582"/>
      <c r="AD176" s="582"/>
      <c r="AE176" s="582"/>
      <c r="AI176" s="260"/>
    </row>
    <row r="177" spans="15:35">
      <c r="O177" s="259"/>
      <c r="P177" s="582"/>
      <c r="Q177" s="582"/>
      <c r="R177" s="582"/>
      <c r="S177" s="582"/>
      <c r="T177" s="582"/>
      <c r="U177" s="582"/>
      <c r="V177" s="582"/>
      <c r="W177" s="582"/>
      <c r="X177" s="582"/>
      <c r="Y177" s="582"/>
      <c r="Z177" s="582"/>
      <c r="AA177" s="582"/>
      <c r="AB177" s="260"/>
      <c r="AC177" s="582"/>
      <c r="AD177" s="582"/>
      <c r="AE177" s="582"/>
      <c r="AI177" s="260"/>
    </row>
    <row r="178" spans="15:35">
      <c r="O178" s="259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82"/>
      <c r="AB178" s="260"/>
      <c r="AC178" s="582"/>
      <c r="AD178" s="582"/>
      <c r="AE178" s="582"/>
      <c r="AI178" s="260"/>
    </row>
    <row r="179" spans="15:35">
      <c r="O179" s="259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82"/>
      <c r="AB179" s="260"/>
      <c r="AC179" s="582"/>
      <c r="AD179" s="582"/>
      <c r="AE179" s="582"/>
      <c r="AI179" s="260"/>
    </row>
    <row r="180" spans="15:35">
      <c r="O180" s="259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82"/>
      <c r="AB180" s="260"/>
      <c r="AC180" s="582"/>
      <c r="AD180" s="582"/>
      <c r="AE180" s="582"/>
      <c r="AI180" s="260"/>
    </row>
    <row r="181" spans="15:35">
      <c r="O181" s="259"/>
      <c r="P181" s="582"/>
      <c r="Q181" s="582"/>
      <c r="R181" s="582"/>
      <c r="S181" s="582"/>
      <c r="T181" s="582"/>
      <c r="U181" s="582"/>
      <c r="V181" s="582"/>
      <c r="W181" s="582"/>
      <c r="X181" s="582"/>
      <c r="Y181" s="582"/>
      <c r="Z181" s="582"/>
      <c r="AA181" s="582"/>
      <c r="AB181" s="260"/>
      <c r="AC181" s="582"/>
      <c r="AD181" s="582"/>
      <c r="AE181" s="582"/>
      <c r="AI181" s="260"/>
    </row>
    <row r="182" spans="15:35">
      <c r="O182" s="259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82"/>
      <c r="AB182" s="260"/>
      <c r="AC182" s="582"/>
      <c r="AD182" s="582"/>
      <c r="AE182" s="582"/>
      <c r="AI182" s="260"/>
    </row>
    <row r="183" spans="15:35">
      <c r="O183" s="259"/>
      <c r="P183" s="582"/>
      <c r="Q183" s="582"/>
      <c r="R183" s="582"/>
      <c r="S183" s="582"/>
      <c r="T183" s="582"/>
      <c r="U183" s="582"/>
      <c r="V183" s="582"/>
      <c r="W183" s="582"/>
      <c r="X183" s="582"/>
      <c r="Y183" s="582"/>
      <c r="Z183" s="582"/>
      <c r="AA183" s="582"/>
      <c r="AB183" s="260"/>
      <c r="AC183" s="582"/>
      <c r="AD183" s="582"/>
      <c r="AE183" s="582"/>
      <c r="AI183" s="260"/>
    </row>
    <row r="184" spans="15:35">
      <c r="O184" s="259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82"/>
      <c r="AB184" s="260"/>
      <c r="AC184" s="582"/>
      <c r="AD184" s="582"/>
      <c r="AE184" s="582"/>
      <c r="AI184" s="260"/>
    </row>
    <row r="185" spans="15:35">
      <c r="O185" s="259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82"/>
      <c r="AB185" s="260"/>
      <c r="AC185" s="582"/>
      <c r="AD185" s="582"/>
      <c r="AE185" s="582"/>
      <c r="AI185" s="260"/>
    </row>
    <row r="186" spans="15:35">
      <c r="O186" s="259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82"/>
      <c r="AB186" s="260"/>
      <c r="AC186" s="582"/>
      <c r="AD186" s="582"/>
      <c r="AE186" s="582"/>
      <c r="AI186" s="260"/>
    </row>
    <row r="187" spans="15:35">
      <c r="O187" s="259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82"/>
      <c r="AB187" s="260"/>
      <c r="AC187" s="582"/>
      <c r="AD187" s="582"/>
      <c r="AE187" s="582"/>
      <c r="AI187" s="260"/>
    </row>
    <row r="188" spans="15:35">
      <c r="O188" s="259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82"/>
      <c r="AB188" s="260"/>
      <c r="AC188" s="582"/>
      <c r="AD188" s="582"/>
      <c r="AE188" s="582"/>
      <c r="AI188" s="260"/>
    </row>
    <row r="189" spans="15:35">
      <c r="O189" s="259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82"/>
      <c r="AB189" s="260"/>
      <c r="AC189" s="582"/>
      <c r="AD189" s="582"/>
      <c r="AE189" s="582"/>
      <c r="AI189" s="260"/>
    </row>
    <row r="190" spans="15:35">
      <c r="O190" s="259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82"/>
      <c r="AB190" s="260"/>
      <c r="AC190" s="582"/>
      <c r="AD190" s="582"/>
      <c r="AE190" s="582"/>
      <c r="AI190" s="260"/>
    </row>
    <row r="191" spans="15:35">
      <c r="O191" s="259"/>
      <c r="P191" s="582"/>
      <c r="Q191" s="582"/>
      <c r="R191" s="582"/>
      <c r="S191" s="582"/>
      <c r="T191" s="582"/>
      <c r="U191" s="582"/>
      <c r="V191" s="582"/>
      <c r="W191" s="582"/>
      <c r="X191" s="582"/>
      <c r="Y191" s="582"/>
      <c r="Z191" s="582"/>
      <c r="AA191" s="582"/>
      <c r="AB191" s="260"/>
      <c r="AC191" s="582"/>
      <c r="AD191" s="582"/>
      <c r="AE191" s="582"/>
      <c r="AI191" s="260"/>
    </row>
    <row r="192" spans="15:35">
      <c r="O192" s="259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260"/>
      <c r="AC192" s="582"/>
      <c r="AD192" s="582"/>
      <c r="AE192" s="582"/>
      <c r="AI192" s="260"/>
    </row>
    <row r="193" spans="15:35">
      <c r="O193" s="259"/>
      <c r="P193" s="582"/>
      <c r="Q193" s="582"/>
      <c r="R193" s="582"/>
      <c r="S193" s="582"/>
      <c r="T193" s="582"/>
      <c r="U193" s="582"/>
      <c r="V193" s="582"/>
      <c r="W193" s="582"/>
      <c r="X193" s="582"/>
      <c r="Y193" s="582"/>
      <c r="Z193" s="582"/>
      <c r="AA193" s="582"/>
      <c r="AB193" s="260"/>
      <c r="AC193" s="582"/>
      <c r="AD193" s="582"/>
      <c r="AE193" s="582"/>
      <c r="AI193" s="260"/>
    </row>
    <row r="194" spans="15:35">
      <c r="O194" s="259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82"/>
      <c r="AB194" s="260"/>
      <c r="AC194" s="582"/>
      <c r="AD194" s="582"/>
      <c r="AE194" s="582"/>
      <c r="AI194" s="260"/>
    </row>
    <row r="195" spans="15:35">
      <c r="O195" s="259"/>
      <c r="P195" s="582"/>
      <c r="Q195" s="582"/>
      <c r="R195" s="582"/>
      <c r="S195" s="582"/>
      <c r="T195" s="582"/>
      <c r="U195" s="582"/>
      <c r="V195" s="582"/>
      <c r="W195" s="582"/>
      <c r="X195" s="582"/>
      <c r="Y195" s="582"/>
      <c r="Z195" s="582"/>
      <c r="AA195" s="582"/>
      <c r="AB195" s="260"/>
      <c r="AC195" s="582"/>
      <c r="AD195" s="582"/>
      <c r="AE195" s="582"/>
      <c r="AI195" s="260"/>
    </row>
    <row r="196" spans="15:35">
      <c r="O196" s="259"/>
      <c r="P196" s="582"/>
      <c r="Q196" s="582"/>
      <c r="R196" s="582"/>
      <c r="S196" s="582"/>
      <c r="T196" s="582"/>
      <c r="U196" s="582"/>
      <c r="V196" s="582"/>
      <c r="W196" s="582"/>
      <c r="X196" s="582"/>
      <c r="Y196" s="582"/>
      <c r="Z196" s="582"/>
      <c r="AA196" s="582"/>
      <c r="AB196" s="260"/>
      <c r="AC196" s="582"/>
      <c r="AD196" s="582"/>
      <c r="AE196" s="582"/>
      <c r="AI196" s="260"/>
    </row>
    <row r="197" spans="15:35">
      <c r="O197" s="259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82"/>
      <c r="AB197" s="260"/>
      <c r="AC197" s="582"/>
      <c r="AD197" s="582"/>
      <c r="AE197" s="582"/>
      <c r="AI197" s="260"/>
    </row>
    <row r="198" spans="15:35">
      <c r="O198" s="259"/>
      <c r="P198" s="582"/>
      <c r="Q198" s="582"/>
      <c r="R198" s="582"/>
      <c r="S198" s="582"/>
      <c r="T198" s="582"/>
      <c r="U198" s="582"/>
      <c r="V198" s="582"/>
      <c r="W198" s="582"/>
      <c r="X198" s="582"/>
      <c r="Y198" s="582"/>
      <c r="Z198" s="582"/>
      <c r="AA198" s="582"/>
      <c r="AB198" s="260"/>
      <c r="AC198" s="582"/>
      <c r="AD198" s="582"/>
      <c r="AE198" s="582"/>
      <c r="AI198" s="260"/>
    </row>
    <row r="199" spans="15:35">
      <c r="O199" s="259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82"/>
      <c r="AB199" s="260"/>
      <c r="AC199" s="582"/>
      <c r="AD199" s="582"/>
      <c r="AE199" s="582"/>
      <c r="AI199" s="260"/>
    </row>
    <row r="200" spans="15:35">
      <c r="O200" s="259"/>
      <c r="P200" s="582"/>
      <c r="Q200" s="582"/>
      <c r="R200" s="582"/>
      <c r="S200" s="582"/>
      <c r="T200" s="582"/>
      <c r="U200" s="582"/>
      <c r="V200" s="582"/>
      <c r="W200" s="582"/>
      <c r="X200" s="582"/>
      <c r="Y200" s="582"/>
      <c r="Z200" s="582"/>
      <c r="AA200" s="582"/>
      <c r="AB200" s="260"/>
      <c r="AC200" s="582"/>
      <c r="AD200" s="582"/>
      <c r="AE200" s="582"/>
      <c r="AI200" s="260"/>
    </row>
    <row r="201" spans="15:35">
      <c r="O201" s="259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82"/>
      <c r="AB201" s="260"/>
      <c r="AC201" s="582"/>
      <c r="AD201" s="582"/>
      <c r="AE201" s="582"/>
      <c r="AI201" s="260"/>
    </row>
    <row r="202" spans="15:35">
      <c r="O202" s="259"/>
      <c r="P202" s="582"/>
      <c r="Q202" s="582"/>
      <c r="R202" s="582"/>
      <c r="S202" s="582"/>
      <c r="T202" s="582"/>
      <c r="U202" s="582"/>
      <c r="V202" s="582"/>
      <c r="W202" s="582"/>
      <c r="X202" s="582"/>
      <c r="Y202" s="582"/>
      <c r="Z202" s="582"/>
      <c r="AA202" s="582"/>
      <c r="AB202" s="260"/>
      <c r="AC202" s="582"/>
      <c r="AD202" s="582"/>
      <c r="AE202" s="582"/>
      <c r="AI202" s="260"/>
    </row>
    <row r="203" spans="15:35">
      <c r="O203" s="259"/>
      <c r="P203" s="582"/>
      <c r="Q203" s="582"/>
      <c r="R203" s="582"/>
      <c r="S203" s="582"/>
      <c r="T203" s="582"/>
      <c r="U203" s="582"/>
      <c r="V203" s="582"/>
      <c r="W203" s="582"/>
      <c r="X203" s="582"/>
      <c r="Y203" s="582"/>
      <c r="Z203" s="582"/>
      <c r="AA203" s="582"/>
      <c r="AB203" s="260"/>
      <c r="AC203" s="582"/>
      <c r="AD203" s="582"/>
      <c r="AE203" s="582"/>
      <c r="AI203" s="260"/>
    </row>
    <row r="204" spans="15:35">
      <c r="O204" s="259"/>
      <c r="P204" s="582"/>
      <c r="Q204" s="582"/>
      <c r="R204" s="582"/>
      <c r="S204" s="582"/>
      <c r="T204" s="582"/>
      <c r="U204" s="582"/>
      <c r="V204" s="582"/>
      <c r="W204" s="582"/>
      <c r="X204" s="582"/>
      <c r="Y204" s="582"/>
      <c r="Z204" s="582"/>
      <c r="AA204" s="582"/>
      <c r="AB204" s="260"/>
      <c r="AC204" s="582"/>
      <c r="AD204" s="582"/>
      <c r="AE204" s="582"/>
      <c r="AI204" s="260"/>
    </row>
    <row r="205" spans="15:35">
      <c r="O205" s="259"/>
      <c r="P205" s="582"/>
      <c r="Q205" s="582"/>
      <c r="R205" s="582"/>
      <c r="S205" s="582"/>
      <c r="T205" s="582"/>
      <c r="U205" s="582"/>
      <c r="V205" s="582"/>
      <c r="W205" s="582"/>
      <c r="X205" s="582"/>
      <c r="Y205" s="582"/>
      <c r="Z205" s="582"/>
      <c r="AA205" s="582"/>
      <c r="AB205" s="260"/>
      <c r="AC205" s="582"/>
      <c r="AD205" s="582"/>
      <c r="AE205" s="582"/>
      <c r="AI205" s="260"/>
    </row>
    <row r="206" spans="15:35">
      <c r="O206" s="259"/>
      <c r="P206" s="582"/>
      <c r="Q206" s="582"/>
      <c r="R206" s="582"/>
      <c r="S206" s="582"/>
      <c r="T206" s="582"/>
      <c r="U206" s="582"/>
      <c r="V206" s="582"/>
      <c r="W206" s="582"/>
      <c r="X206" s="582"/>
      <c r="Y206" s="582"/>
      <c r="Z206" s="582"/>
      <c r="AA206" s="582"/>
      <c r="AB206" s="260"/>
      <c r="AC206" s="582"/>
      <c r="AD206" s="582"/>
      <c r="AE206" s="582"/>
      <c r="AI206" s="260"/>
    </row>
    <row r="207" spans="15:35">
      <c r="O207" s="259"/>
      <c r="P207" s="582"/>
      <c r="Q207" s="582"/>
      <c r="R207" s="582"/>
      <c r="S207" s="582"/>
      <c r="T207" s="582"/>
      <c r="U207" s="582"/>
      <c r="V207" s="582"/>
      <c r="W207" s="582"/>
      <c r="X207" s="582"/>
      <c r="Y207" s="582"/>
      <c r="Z207" s="582"/>
      <c r="AA207" s="582"/>
      <c r="AB207" s="260"/>
      <c r="AC207" s="582"/>
      <c r="AD207" s="582"/>
      <c r="AE207" s="582"/>
      <c r="AI207" s="260"/>
    </row>
    <row r="208" spans="15:35">
      <c r="O208" s="259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82"/>
      <c r="AB208" s="260"/>
      <c r="AC208" s="582"/>
      <c r="AD208" s="582"/>
      <c r="AE208" s="582"/>
      <c r="AI208" s="260"/>
    </row>
    <row r="209" spans="15:35">
      <c r="O209" s="259"/>
      <c r="P209" s="582"/>
      <c r="Q209" s="582"/>
      <c r="R209" s="582"/>
      <c r="S209" s="582"/>
      <c r="T209" s="582"/>
      <c r="U209" s="582"/>
      <c r="V209" s="582"/>
      <c r="W209" s="582"/>
      <c r="X209" s="582"/>
      <c r="Y209" s="582"/>
      <c r="Z209" s="582"/>
      <c r="AA209" s="582"/>
      <c r="AB209" s="260"/>
      <c r="AC209" s="582"/>
      <c r="AD209" s="582"/>
      <c r="AE209" s="582"/>
      <c r="AI209" s="260"/>
    </row>
    <row r="210" spans="15:35">
      <c r="O210" s="259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82"/>
      <c r="AB210" s="260"/>
      <c r="AC210" s="582"/>
      <c r="AD210" s="582"/>
      <c r="AE210" s="582"/>
      <c r="AI210" s="260"/>
    </row>
    <row r="211" spans="15:35">
      <c r="O211" s="259"/>
      <c r="P211" s="582"/>
      <c r="Q211" s="582"/>
      <c r="R211" s="582"/>
      <c r="S211" s="582"/>
      <c r="T211" s="582"/>
      <c r="U211" s="582"/>
      <c r="V211" s="582"/>
      <c r="W211" s="582"/>
      <c r="X211" s="582"/>
      <c r="Y211" s="582"/>
      <c r="Z211" s="582"/>
      <c r="AA211" s="582"/>
      <c r="AB211" s="260"/>
      <c r="AC211" s="582"/>
      <c r="AD211" s="582"/>
      <c r="AE211" s="582"/>
      <c r="AI211" s="260"/>
    </row>
    <row r="212" spans="15:35">
      <c r="O212" s="259"/>
      <c r="P212" s="582"/>
      <c r="Q212" s="582"/>
      <c r="R212" s="582"/>
      <c r="S212" s="582"/>
      <c r="T212" s="582"/>
      <c r="U212" s="582"/>
      <c r="V212" s="582"/>
      <c r="W212" s="582"/>
      <c r="X212" s="582"/>
      <c r="Y212" s="582"/>
      <c r="Z212" s="582"/>
      <c r="AA212" s="582"/>
      <c r="AB212" s="260"/>
      <c r="AC212" s="582"/>
      <c r="AD212" s="582"/>
      <c r="AE212" s="582"/>
      <c r="AI212" s="260"/>
    </row>
    <row r="213" spans="15:35">
      <c r="O213" s="259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82"/>
      <c r="AB213" s="260"/>
      <c r="AC213" s="582"/>
      <c r="AD213" s="582"/>
      <c r="AE213" s="582"/>
      <c r="AI213" s="260"/>
    </row>
    <row r="214" spans="15:35">
      <c r="O214" s="259"/>
      <c r="P214" s="582"/>
      <c r="Q214" s="582"/>
      <c r="R214" s="582"/>
      <c r="S214" s="582"/>
      <c r="T214" s="582"/>
      <c r="U214" s="582"/>
      <c r="V214" s="582"/>
      <c r="W214" s="582"/>
      <c r="X214" s="582"/>
      <c r="Y214" s="582"/>
      <c r="Z214" s="582"/>
      <c r="AA214" s="582"/>
      <c r="AB214" s="260"/>
      <c r="AC214" s="582"/>
      <c r="AD214" s="582"/>
      <c r="AE214" s="582"/>
      <c r="AI214" s="260"/>
    </row>
    <row r="215" spans="15:35">
      <c r="O215" s="259"/>
      <c r="P215" s="582"/>
      <c r="Q215" s="582"/>
      <c r="R215" s="582"/>
      <c r="S215" s="582"/>
      <c r="T215" s="582"/>
      <c r="U215" s="582"/>
      <c r="V215" s="582"/>
      <c r="W215" s="582"/>
      <c r="X215" s="582"/>
      <c r="Y215" s="582"/>
      <c r="Z215" s="582"/>
      <c r="AA215" s="582"/>
      <c r="AB215" s="260"/>
      <c r="AC215" s="582"/>
      <c r="AD215" s="582"/>
      <c r="AE215" s="582"/>
      <c r="AI215" s="260"/>
    </row>
    <row r="216" spans="15:35">
      <c r="O216" s="259"/>
      <c r="P216" s="582"/>
      <c r="Q216" s="582"/>
      <c r="R216" s="582"/>
      <c r="S216" s="582"/>
      <c r="T216" s="582"/>
      <c r="U216" s="582"/>
      <c r="V216" s="582"/>
      <c r="W216" s="582"/>
      <c r="X216" s="582"/>
      <c r="Y216" s="582"/>
      <c r="Z216" s="582"/>
      <c r="AA216" s="582"/>
      <c r="AB216" s="260"/>
      <c r="AC216" s="582"/>
      <c r="AD216" s="582"/>
      <c r="AE216" s="582"/>
      <c r="AI216" s="260"/>
    </row>
    <row r="217" spans="15:35">
      <c r="O217" s="259"/>
      <c r="P217" s="582"/>
      <c r="Q217" s="582"/>
      <c r="R217" s="582"/>
      <c r="S217" s="582"/>
      <c r="T217" s="582"/>
      <c r="U217" s="582"/>
      <c r="V217" s="582"/>
      <c r="W217" s="582"/>
      <c r="X217" s="582"/>
      <c r="Y217" s="582"/>
      <c r="Z217" s="582"/>
      <c r="AA217" s="582"/>
      <c r="AB217" s="260"/>
      <c r="AC217" s="582"/>
      <c r="AD217" s="582"/>
      <c r="AE217" s="582"/>
      <c r="AI217" s="260"/>
    </row>
    <row r="218" spans="15:35">
      <c r="O218" s="259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82"/>
      <c r="AB218" s="260"/>
      <c r="AC218" s="582"/>
      <c r="AD218" s="582"/>
      <c r="AE218" s="582"/>
      <c r="AI218" s="260"/>
    </row>
    <row r="219" spans="15:35">
      <c r="O219" s="259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82"/>
      <c r="AB219" s="260"/>
      <c r="AC219" s="582"/>
      <c r="AD219" s="582"/>
      <c r="AE219" s="582"/>
      <c r="AI219" s="260"/>
    </row>
    <row r="220" spans="15:35">
      <c r="O220" s="259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260"/>
      <c r="AC220" s="582"/>
      <c r="AD220" s="582"/>
      <c r="AE220" s="582"/>
      <c r="AI220" s="260"/>
    </row>
    <row r="221" spans="15:35">
      <c r="O221" s="259"/>
      <c r="P221" s="582"/>
      <c r="Q221" s="582"/>
      <c r="R221" s="582"/>
      <c r="S221" s="582"/>
      <c r="T221" s="582"/>
      <c r="U221" s="582"/>
      <c r="V221" s="582"/>
      <c r="W221" s="582"/>
      <c r="X221" s="582"/>
      <c r="Y221" s="582"/>
      <c r="Z221" s="582"/>
      <c r="AA221" s="582"/>
      <c r="AB221" s="260"/>
      <c r="AC221" s="582"/>
      <c r="AD221" s="582"/>
      <c r="AE221" s="582"/>
      <c r="AI221" s="260"/>
    </row>
    <row r="222" spans="15:35">
      <c r="O222" s="259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82"/>
      <c r="AB222" s="260"/>
      <c r="AC222" s="582"/>
      <c r="AD222" s="582"/>
      <c r="AE222" s="582"/>
      <c r="AI222" s="260"/>
    </row>
    <row r="223" spans="15:35">
      <c r="O223" s="259"/>
      <c r="P223" s="582"/>
      <c r="Q223" s="582"/>
      <c r="R223" s="582"/>
      <c r="S223" s="582"/>
      <c r="T223" s="582"/>
      <c r="U223" s="582"/>
      <c r="V223" s="582"/>
      <c r="W223" s="582"/>
      <c r="X223" s="582"/>
      <c r="Y223" s="582"/>
      <c r="Z223" s="582"/>
      <c r="AA223" s="582"/>
      <c r="AB223" s="260"/>
      <c r="AC223" s="582"/>
      <c r="AD223" s="582"/>
      <c r="AE223" s="582"/>
      <c r="AI223" s="260"/>
    </row>
    <row r="224" spans="15:35">
      <c r="O224" s="259"/>
      <c r="P224" s="582"/>
      <c r="Q224" s="582"/>
      <c r="R224" s="582"/>
      <c r="S224" s="582"/>
      <c r="T224" s="582"/>
      <c r="U224" s="582"/>
      <c r="V224" s="582"/>
      <c r="W224" s="582"/>
      <c r="X224" s="582"/>
      <c r="Y224" s="582"/>
      <c r="Z224" s="582"/>
      <c r="AA224" s="582"/>
      <c r="AB224" s="260"/>
      <c r="AC224" s="582"/>
      <c r="AD224" s="582"/>
      <c r="AE224" s="582"/>
      <c r="AI224" s="260"/>
    </row>
    <row r="225" spans="15:35">
      <c r="O225" s="259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82"/>
      <c r="AB225" s="260"/>
      <c r="AC225" s="582"/>
      <c r="AD225" s="582"/>
      <c r="AE225" s="582"/>
      <c r="AI225" s="260"/>
    </row>
    <row r="226" spans="15:35">
      <c r="O226" s="259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82"/>
      <c r="AB226" s="260"/>
      <c r="AC226" s="582"/>
      <c r="AD226" s="582"/>
      <c r="AE226" s="582"/>
      <c r="AI226" s="260"/>
    </row>
    <row r="227" spans="15:35">
      <c r="O227" s="259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82"/>
      <c r="AB227" s="260"/>
      <c r="AC227" s="582"/>
      <c r="AD227" s="582"/>
      <c r="AE227" s="582"/>
      <c r="AI227" s="260"/>
    </row>
    <row r="228" spans="15:35">
      <c r="O228" s="259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82"/>
      <c r="AB228" s="260"/>
      <c r="AC228" s="582"/>
      <c r="AD228" s="582"/>
      <c r="AE228" s="582"/>
      <c r="AI228" s="260"/>
    </row>
    <row r="229" spans="15:35">
      <c r="O229" s="259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82"/>
      <c r="AB229" s="260"/>
      <c r="AC229" s="582"/>
      <c r="AD229" s="582"/>
      <c r="AE229" s="582"/>
      <c r="AI229" s="260"/>
    </row>
    <row r="230" spans="15:35">
      <c r="O230" s="259"/>
      <c r="P230" s="582"/>
      <c r="Q230" s="582"/>
      <c r="R230" s="582"/>
      <c r="S230" s="582"/>
      <c r="T230" s="582"/>
      <c r="U230" s="582"/>
      <c r="V230" s="582"/>
      <c r="W230" s="582"/>
      <c r="X230" s="582"/>
      <c r="Y230" s="582"/>
      <c r="Z230" s="582"/>
      <c r="AA230" s="582"/>
      <c r="AB230" s="260"/>
      <c r="AC230" s="582"/>
      <c r="AD230" s="582"/>
      <c r="AE230" s="582"/>
      <c r="AI230" s="260"/>
    </row>
    <row r="231" spans="15:35">
      <c r="O231" s="259"/>
      <c r="P231" s="582"/>
      <c r="Q231" s="582"/>
      <c r="R231" s="582"/>
      <c r="S231" s="582"/>
      <c r="T231" s="582"/>
      <c r="U231" s="582"/>
      <c r="V231" s="582"/>
      <c r="W231" s="582"/>
      <c r="X231" s="582"/>
      <c r="Y231" s="582"/>
      <c r="Z231" s="582"/>
      <c r="AA231" s="582"/>
      <c r="AB231" s="260"/>
      <c r="AC231" s="582"/>
      <c r="AD231" s="582"/>
      <c r="AE231" s="582"/>
      <c r="AI231" s="260"/>
    </row>
    <row r="232" spans="15:35">
      <c r="O232" s="259"/>
      <c r="P232" s="582"/>
      <c r="Q232" s="582"/>
      <c r="R232" s="582"/>
      <c r="S232" s="582"/>
      <c r="T232" s="582"/>
      <c r="U232" s="582"/>
      <c r="V232" s="582"/>
      <c r="W232" s="582"/>
      <c r="X232" s="582"/>
      <c r="Y232" s="582"/>
      <c r="Z232" s="582"/>
      <c r="AA232" s="582"/>
      <c r="AB232" s="260"/>
      <c r="AC232" s="582"/>
      <c r="AD232" s="582"/>
      <c r="AE232" s="582"/>
      <c r="AI232" s="260"/>
    </row>
    <row r="233" spans="15:35">
      <c r="O233" s="259"/>
      <c r="P233" s="582"/>
      <c r="Q233" s="582"/>
      <c r="R233" s="582"/>
      <c r="S233" s="582"/>
      <c r="T233" s="582"/>
      <c r="U233" s="582"/>
      <c r="V233" s="582"/>
      <c r="W233" s="582"/>
      <c r="X233" s="582"/>
      <c r="Y233" s="582"/>
      <c r="Z233" s="582"/>
      <c r="AA233" s="582"/>
      <c r="AB233" s="260"/>
      <c r="AC233" s="582"/>
      <c r="AD233" s="582"/>
      <c r="AE233" s="582"/>
      <c r="AI233" s="260"/>
    </row>
    <row r="234" spans="15:35">
      <c r="O234" s="259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82"/>
      <c r="AB234" s="260"/>
      <c r="AC234" s="582"/>
      <c r="AD234" s="582"/>
      <c r="AE234" s="582"/>
      <c r="AI234" s="260"/>
    </row>
    <row r="235" spans="15:35">
      <c r="O235" s="259"/>
      <c r="P235" s="582"/>
      <c r="Q235" s="582"/>
      <c r="R235" s="582"/>
      <c r="S235" s="582"/>
      <c r="T235" s="582"/>
      <c r="U235" s="582"/>
      <c r="V235" s="582"/>
      <c r="W235" s="582"/>
      <c r="X235" s="582"/>
      <c r="Y235" s="582"/>
      <c r="Z235" s="582"/>
      <c r="AA235" s="582"/>
      <c r="AB235" s="260"/>
      <c r="AC235" s="582"/>
      <c r="AD235" s="582"/>
      <c r="AE235" s="582"/>
      <c r="AI235" s="260"/>
    </row>
    <row r="236" spans="15:35">
      <c r="O236" s="259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82"/>
      <c r="AB236" s="260"/>
      <c r="AC236" s="582"/>
      <c r="AD236" s="582"/>
      <c r="AE236" s="582"/>
      <c r="AI236" s="260"/>
    </row>
    <row r="237" spans="15:35">
      <c r="O237" s="259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82"/>
      <c r="AB237" s="260"/>
      <c r="AC237" s="582"/>
      <c r="AD237" s="582"/>
      <c r="AE237" s="582"/>
      <c r="AI237" s="260"/>
    </row>
    <row r="238" spans="15:35">
      <c r="O238" s="259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82"/>
      <c r="AB238" s="260"/>
      <c r="AC238" s="582"/>
      <c r="AD238" s="582"/>
      <c r="AE238" s="582"/>
      <c r="AI238" s="260"/>
    </row>
    <row r="239" spans="15:35">
      <c r="O239" s="259"/>
      <c r="P239" s="582"/>
      <c r="Q239" s="582"/>
      <c r="R239" s="582"/>
      <c r="S239" s="582"/>
      <c r="T239" s="582"/>
      <c r="U239" s="582"/>
      <c r="V239" s="582"/>
      <c r="W239" s="582"/>
      <c r="X239" s="582"/>
      <c r="Y239" s="582"/>
      <c r="Z239" s="582"/>
      <c r="AA239" s="582"/>
      <c r="AB239" s="260"/>
      <c r="AC239" s="582"/>
      <c r="AD239" s="582"/>
      <c r="AE239" s="582"/>
      <c r="AI239" s="260"/>
    </row>
    <row r="240" spans="15:35">
      <c r="O240" s="259"/>
      <c r="P240" s="582"/>
      <c r="Q240" s="582"/>
      <c r="R240" s="582"/>
      <c r="S240" s="582"/>
      <c r="T240" s="582"/>
      <c r="U240" s="582"/>
      <c r="V240" s="582"/>
      <c r="W240" s="582"/>
      <c r="X240" s="582"/>
      <c r="Y240" s="582"/>
      <c r="Z240" s="582"/>
      <c r="AA240" s="582"/>
      <c r="AB240" s="260"/>
      <c r="AC240" s="582"/>
      <c r="AD240" s="582"/>
      <c r="AE240" s="582"/>
      <c r="AI240" s="260"/>
    </row>
    <row r="241" spans="15:35">
      <c r="O241" s="259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82"/>
      <c r="AB241" s="260"/>
      <c r="AC241" s="582"/>
      <c r="AD241" s="582"/>
      <c r="AE241" s="582"/>
      <c r="AI241" s="260"/>
    </row>
    <row r="242" spans="15:35">
      <c r="O242" s="259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82"/>
      <c r="AB242" s="260"/>
      <c r="AC242" s="582"/>
      <c r="AD242" s="582"/>
      <c r="AE242" s="582"/>
      <c r="AI242" s="260"/>
    </row>
    <row r="243" spans="15:35">
      <c r="O243" s="259"/>
      <c r="P243" s="582"/>
      <c r="Q243" s="582"/>
      <c r="R243" s="582"/>
      <c r="S243" s="582"/>
      <c r="T243" s="582"/>
      <c r="U243" s="582"/>
      <c r="V243" s="582"/>
      <c r="W243" s="582"/>
      <c r="X243" s="582"/>
      <c r="Y243" s="582"/>
      <c r="Z243" s="582"/>
      <c r="AA243" s="582"/>
      <c r="AB243" s="260"/>
      <c r="AC243" s="582"/>
      <c r="AD243" s="582"/>
      <c r="AE243" s="582"/>
      <c r="AI243" s="260"/>
    </row>
    <row r="244" spans="15:35">
      <c r="O244" s="259"/>
      <c r="P244" s="582"/>
      <c r="Q244" s="582"/>
      <c r="R244" s="582"/>
      <c r="S244" s="582"/>
      <c r="T244" s="582"/>
      <c r="U244" s="582"/>
      <c r="V244" s="582"/>
      <c r="W244" s="582"/>
      <c r="X244" s="582"/>
      <c r="Y244" s="582"/>
      <c r="Z244" s="582"/>
      <c r="AA244" s="582"/>
      <c r="AB244" s="260"/>
      <c r="AC244" s="582"/>
      <c r="AD244" s="582"/>
      <c r="AE244" s="582"/>
      <c r="AI244" s="260"/>
    </row>
    <row r="245" spans="15:35">
      <c r="O245" s="259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82"/>
      <c r="AB245" s="260"/>
      <c r="AC245" s="582"/>
      <c r="AD245" s="582"/>
      <c r="AE245" s="582"/>
      <c r="AI245" s="260"/>
    </row>
    <row r="246" spans="15:35">
      <c r="O246" s="259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82"/>
      <c r="AB246" s="260"/>
      <c r="AC246" s="582"/>
      <c r="AD246" s="582"/>
      <c r="AE246" s="582"/>
      <c r="AI246" s="260"/>
    </row>
    <row r="247" spans="15:35">
      <c r="O247" s="259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82"/>
      <c r="AB247" s="260"/>
      <c r="AC247" s="582"/>
      <c r="AD247" s="582"/>
      <c r="AE247" s="582"/>
      <c r="AI247" s="260"/>
    </row>
    <row r="248" spans="15:35">
      <c r="O248" s="259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82"/>
      <c r="AB248" s="260"/>
      <c r="AC248" s="582"/>
      <c r="AD248" s="582"/>
      <c r="AE248" s="582"/>
      <c r="AI248" s="260"/>
    </row>
    <row r="249" spans="15:35">
      <c r="O249" s="259"/>
      <c r="P249" s="582"/>
      <c r="Q249" s="582"/>
      <c r="R249" s="582"/>
      <c r="S249" s="582"/>
      <c r="T249" s="582"/>
      <c r="U249" s="582"/>
      <c r="V249" s="582"/>
      <c r="W249" s="582"/>
      <c r="X249" s="582"/>
      <c r="Y249" s="582"/>
      <c r="Z249" s="582"/>
      <c r="AA249" s="582"/>
      <c r="AB249" s="260"/>
      <c r="AC249" s="582"/>
      <c r="AD249" s="582"/>
      <c r="AE249" s="582"/>
      <c r="AI249" s="260"/>
    </row>
    <row r="250" spans="15:35">
      <c r="O250" s="259"/>
      <c r="P250" s="582"/>
      <c r="Q250" s="582"/>
      <c r="R250" s="582"/>
      <c r="S250" s="582"/>
      <c r="T250" s="582"/>
      <c r="U250" s="582"/>
      <c r="V250" s="582"/>
      <c r="W250" s="582"/>
      <c r="X250" s="582"/>
      <c r="Y250" s="582"/>
      <c r="Z250" s="582"/>
      <c r="AA250" s="582"/>
      <c r="AB250" s="260"/>
      <c r="AC250" s="582"/>
      <c r="AD250" s="582"/>
      <c r="AE250" s="582"/>
      <c r="AI250" s="260"/>
    </row>
    <row r="251" spans="15:35">
      <c r="O251" s="259"/>
      <c r="P251" s="582"/>
      <c r="Q251" s="582"/>
      <c r="R251" s="582"/>
      <c r="S251" s="582"/>
      <c r="T251" s="582"/>
      <c r="U251" s="582"/>
      <c r="V251" s="582"/>
      <c r="W251" s="582"/>
      <c r="X251" s="582"/>
      <c r="Y251" s="582"/>
      <c r="Z251" s="582"/>
      <c r="AA251" s="582"/>
      <c r="AB251" s="260"/>
      <c r="AC251" s="582"/>
      <c r="AD251" s="582"/>
      <c r="AE251" s="582"/>
      <c r="AI251" s="260"/>
    </row>
    <row r="252" spans="15:35">
      <c r="O252" s="259"/>
      <c r="P252" s="582"/>
      <c r="Q252" s="582"/>
      <c r="R252" s="582"/>
      <c r="S252" s="582"/>
      <c r="T252" s="582"/>
      <c r="U252" s="582"/>
      <c r="V252" s="582"/>
      <c r="W252" s="582"/>
      <c r="X252" s="582"/>
      <c r="Y252" s="582"/>
      <c r="Z252" s="582"/>
      <c r="AA252" s="582"/>
      <c r="AB252" s="260"/>
      <c r="AC252" s="582"/>
      <c r="AD252" s="582"/>
      <c r="AE252" s="582"/>
      <c r="AI252" s="260"/>
    </row>
    <row r="253" spans="15:35">
      <c r="O253" s="259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82"/>
      <c r="AB253" s="260"/>
      <c r="AC253" s="582"/>
      <c r="AD253" s="582"/>
      <c r="AE253" s="582"/>
      <c r="AI253" s="260"/>
    </row>
    <row r="254" spans="15:35">
      <c r="O254" s="259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82"/>
      <c r="AB254" s="260"/>
      <c r="AC254" s="582"/>
      <c r="AD254" s="582"/>
      <c r="AE254" s="582"/>
      <c r="AI254" s="260"/>
    </row>
    <row r="255" spans="15:35">
      <c r="O255" s="259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82"/>
      <c r="AB255" s="260"/>
      <c r="AC255" s="582"/>
      <c r="AD255" s="582"/>
      <c r="AE255" s="582"/>
      <c r="AI255" s="260"/>
    </row>
    <row r="256" spans="15:35">
      <c r="O256" s="259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82"/>
      <c r="AB256" s="260"/>
      <c r="AC256" s="582"/>
      <c r="AD256" s="582"/>
      <c r="AE256" s="582"/>
      <c r="AI256" s="260"/>
    </row>
    <row r="257" spans="15:35">
      <c r="O257" s="259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82"/>
      <c r="AB257" s="260"/>
      <c r="AC257" s="582"/>
      <c r="AD257" s="582"/>
      <c r="AE257" s="582"/>
      <c r="AI257" s="260"/>
    </row>
    <row r="258" spans="15:35">
      <c r="O258" s="259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260"/>
      <c r="AC258" s="582"/>
      <c r="AD258" s="582"/>
      <c r="AE258" s="582"/>
      <c r="AI258" s="260"/>
    </row>
    <row r="259" spans="15:35">
      <c r="O259" s="259"/>
      <c r="P259" s="582"/>
      <c r="Q259" s="582"/>
      <c r="R259" s="582"/>
      <c r="S259" s="582"/>
      <c r="T259" s="582"/>
      <c r="U259" s="582"/>
      <c r="V259" s="582"/>
      <c r="W259" s="582"/>
      <c r="X259" s="582"/>
      <c r="Y259" s="582"/>
      <c r="Z259" s="582"/>
      <c r="AA259" s="582"/>
      <c r="AB259" s="260"/>
      <c r="AC259" s="582"/>
      <c r="AD259" s="582"/>
      <c r="AE259" s="582"/>
      <c r="AI259" s="260"/>
    </row>
    <row r="260" spans="15:35">
      <c r="O260" s="259"/>
      <c r="P260" s="582"/>
      <c r="Q260" s="582"/>
      <c r="R260" s="582"/>
      <c r="S260" s="582"/>
      <c r="T260" s="582"/>
      <c r="U260" s="582"/>
      <c r="V260" s="582"/>
      <c r="W260" s="582"/>
      <c r="X260" s="582"/>
      <c r="Y260" s="582"/>
      <c r="Z260" s="582"/>
      <c r="AA260" s="582"/>
      <c r="AB260" s="260"/>
      <c r="AC260" s="582"/>
      <c r="AD260" s="582"/>
      <c r="AE260" s="582"/>
      <c r="AI260" s="260"/>
    </row>
    <row r="261" spans="15:35">
      <c r="O261" s="259"/>
      <c r="P261" s="582"/>
      <c r="Q261" s="582"/>
      <c r="R261" s="582"/>
      <c r="S261" s="582"/>
      <c r="T261" s="582"/>
      <c r="U261" s="582"/>
      <c r="V261" s="582"/>
      <c r="W261" s="582"/>
      <c r="X261" s="582"/>
      <c r="Y261" s="582"/>
      <c r="Z261" s="582"/>
      <c r="AA261" s="582"/>
      <c r="AB261" s="260"/>
      <c r="AC261" s="582"/>
      <c r="AD261" s="582"/>
      <c r="AE261" s="582"/>
      <c r="AI261" s="260"/>
    </row>
    <row r="262" spans="15:35">
      <c r="O262" s="259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82"/>
      <c r="AB262" s="260"/>
      <c r="AC262" s="582"/>
      <c r="AD262" s="582"/>
      <c r="AE262" s="582"/>
      <c r="AI262" s="260"/>
    </row>
    <row r="263" spans="15:35">
      <c r="O263" s="259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82"/>
      <c r="AB263" s="260"/>
      <c r="AC263" s="582"/>
      <c r="AD263" s="582"/>
      <c r="AE263" s="582"/>
      <c r="AI263" s="260"/>
    </row>
    <row r="264" spans="15:35">
      <c r="O264" s="259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82"/>
      <c r="AB264" s="260"/>
      <c r="AC264" s="582"/>
      <c r="AD264" s="582"/>
      <c r="AE264" s="582"/>
      <c r="AI264" s="260"/>
    </row>
    <row r="265" spans="15:35">
      <c r="O265" s="259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82"/>
      <c r="AB265" s="260"/>
      <c r="AC265" s="582"/>
      <c r="AD265" s="582"/>
      <c r="AE265" s="582"/>
      <c r="AI265" s="260"/>
    </row>
    <row r="266" spans="15:35">
      <c r="O266" s="259"/>
      <c r="P266" s="582"/>
      <c r="Q266" s="582"/>
      <c r="R266" s="582"/>
      <c r="S266" s="582"/>
      <c r="T266" s="582"/>
      <c r="U266" s="582"/>
      <c r="V266" s="582"/>
      <c r="W266" s="582"/>
      <c r="X266" s="582"/>
      <c r="Y266" s="582"/>
      <c r="Z266" s="582"/>
      <c r="AA266" s="582"/>
      <c r="AB266" s="260"/>
      <c r="AC266" s="582"/>
      <c r="AD266" s="582"/>
      <c r="AE266" s="582"/>
      <c r="AI266" s="260"/>
    </row>
    <row r="267" spans="15:35">
      <c r="O267" s="259"/>
      <c r="P267" s="582"/>
      <c r="Q267" s="582"/>
      <c r="R267" s="582"/>
      <c r="S267" s="582"/>
      <c r="T267" s="582"/>
      <c r="U267" s="582"/>
      <c r="V267" s="582"/>
      <c r="W267" s="582"/>
      <c r="X267" s="582"/>
      <c r="Y267" s="582"/>
      <c r="Z267" s="582"/>
      <c r="AA267" s="582"/>
      <c r="AB267" s="260"/>
      <c r="AC267" s="582"/>
      <c r="AD267" s="582"/>
      <c r="AE267" s="582"/>
      <c r="AI267" s="260"/>
    </row>
    <row r="268" spans="15:35">
      <c r="O268" s="259"/>
      <c r="P268" s="582"/>
      <c r="Q268" s="582"/>
      <c r="R268" s="582"/>
      <c r="S268" s="582"/>
      <c r="T268" s="582"/>
      <c r="U268" s="582"/>
      <c r="V268" s="582"/>
      <c r="W268" s="582"/>
      <c r="X268" s="582"/>
      <c r="Y268" s="582"/>
      <c r="Z268" s="582"/>
      <c r="AA268" s="582"/>
      <c r="AB268" s="260"/>
      <c r="AC268" s="582"/>
      <c r="AD268" s="582"/>
      <c r="AE268" s="582"/>
      <c r="AI268" s="260"/>
    </row>
    <row r="269" spans="15:35">
      <c r="O269" s="259"/>
      <c r="P269" s="582"/>
      <c r="Q269" s="582"/>
      <c r="R269" s="582"/>
      <c r="S269" s="582"/>
      <c r="T269" s="582"/>
      <c r="U269" s="582"/>
      <c r="V269" s="582"/>
      <c r="W269" s="582"/>
      <c r="X269" s="582"/>
      <c r="Y269" s="582"/>
      <c r="Z269" s="582"/>
      <c r="AA269" s="582"/>
      <c r="AB269" s="260"/>
      <c r="AC269" s="582"/>
      <c r="AD269" s="582"/>
      <c r="AE269" s="582"/>
      <c r="AI269" s="260"/>
    </row>
    <row r="270" spans="15:35">
      <c r="O270" s="259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82"/>
      <c r="AB270" s="260"/>
      <c r="AC270" s="582"/>
      <c r="AD270" s="582"/>
      <c r="AE270" s="582"/>
      <c r="AI270" s="260"/>
    </row>
    <row r="271" spans="15:35">
      <c r="O271" s="259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82"/>
      <c r="AB271" s="260"/>
      <c r="AC271" s="582"/>
      <c r="AD271" s="582"/>
      <c r="AE271" s="582"/>
      <c r="AI271" s="260"/>
    </row>
    <row r="272" spans="15:35">
      <c r="O272" s="259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82"/>
      <c r="AB272" s="260"/>
      <c r="AC272" s="582"/>
      <c r="AD272" s="582"/>
      <c r="AE272" s="582"/>
      <c r="AI272" s="260"/>
    </row>
    <row r="273" spans="15:35">
      <c r="O273" s="259"/>
      <c r="P273" s="582"/>
      <c r="Q273" s="582"/>
      <c r="R273" s="582"/>
      <c r="S273" s="582"/>
      <c r="T273" s="582"/>
      <c r="U273" s="582"/>
      <c r="V273" s="582"/>
      <c r="W273" s="582"/>
      <c r="X273" s="582"/>
      <c r="Y273" s="582"/>
      <c r="Z273" s="582"/>
      <c r="AA273" s="582"/>
      <c r="AB273" s="260"/>
      <c r="AC273" s="582"/>
      <c r="AD273" s="582"/>
      <c r="AE273" s="582"/>
      <c r="AI273" s="260"/>
    </row>
    <row r="274" spans="15:35">
      <c r="O274" s="259"/>
      <c r="P274" s="582"/>
      <c r="Q274" s="582"/>
      <c r="R274" s="582"/>
      <c r="S274" s="582"/>
      <c r="T274" s="582"/>
      <c r="U274" s="582"/>
      <c r="V274" s="582"/>
      <c r="W274" s="582"/>
      <c r="X274" s="582"/>
      <c r="Y274" s="582"/>
      <c r="Z274" s="582"/>
      <c r="AA274" s="582"/>
      <c r="AB274" s="260"/>
      <c r="AC274" s="582"/>
      <c r="AD274" s="582"/>
      <c r="AE274" s="582"/>
      <c r="AI274" s="260"/>
    </row>
    <row r="275" spans="15:35">
      <c r="O275" s="259"/>
      <c r="P275" s="582"/>
      <c r="Q275" s="582"/>
      <c r="R275" s="582"/>
      <c r="S275" s="582"/>
      <c r="T275" s="582"/>
      <c r="U275" s="582"/>
      <c r="V275" s="582"/>
      <c r="W275" s="582"/>
      <c r="X275" s="582"/>
      <c r="Y275" s="582"/>
      <c r="Z275" s="582"/>
      <c r="AA275" s="582"/>
      <c r="AB275" s="260"/>
      <c r="AC275" s="582"/>
      <c r="AD275" s="582"/>
      <c r="AE275" s="582"/>
      <c r="AI275" s="260"/>
    </row>
    <row r="276" spans="15:35">
      <c r="O276" s="259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82"/>
      <c r="AB276" s="260"/>
      <c r="AC276" s="582"/>
      <c r="AD276" s="582"/>
      <c r="AE276" s="582"/>
      <c r="AI276" s="260"/>
    </row>
    <row r="277" spans="15:35">
      <c r="O277" s="259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82"/>
      <c r="AB277" s="260"/>
      <c r="AC277" s="582"/>
      <c r="AD277" s="582"/>
      <c r="AE277" s="582"/>
      <c r="AI277" s="260"/>
    </row>
    <row r="278" spans="15:35">
      <c r="O278" s="259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82"/>
      <c r="AB278" s="260"/>
      <c r="AC278" s="582"/>
      <c r="AD278" s="582"/>
      <c r="AE278" s="582"/>
      <c r="AI278" s="260"/>
    </row>
    <row r="279" spans="15:35">
      <c r="O279" s="259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82"/>
      <c r="AB279" s="260"/>
      <c r="AC279" s="582"/>
      <c r="AD279" s="582"/>
      <c r="AE279" s="582"/>
      <c r="AI279" s="260"/>
    </row>
    <row r="280" spans="15:35">
      <c r="O280" s="259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82"/>
      <c r="AB280" s="260"/>
      <c r="AC280" s="582"/>
      <c r="AD280" s="582"/>
      <c r="AE280" s="582"/>
      <c r="AI280" s="260"/>
    </row>
    <row r="281" spans="15:35">
      <c r="O281" s="259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82"/>
      <c r="AB281" s="260"/>
      <c r="AC281" s="582"/>
      <c r="AD281" s="582"/>
      <c r="AE281" s="582"/>
      <c r="AI281" s="260"/>
    </row>
    <row r="282" spans="15:35">
      <c r="O282" s="259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82"/>
      <c r="AB282" s="260"/>
      <c r="AC282" s="582"/>
      <c r="AD282" s="582"/>
      <c r="AE282" s="582"/>
      <c r="AI282" s="260"/>
    </row>
    <row r="283" spans="15:35">
      <c r="O283" s="259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82"/>
      <c r="AB283" s="260"/>
      <c r="AC283" s="582"/>
      <c r="AD283" s="582"/>
      <c r="AE283" s="582"/>
      <c r="AI283" s="260"/>
    </row>
    <row r="284" spans="15:35">
      <c r="O284" s="259"/>
      <c r="P284" s="582"/>
      <c r="Q284" s="582"/>
      <c r="R284" s="582"/>
      <c r="S284" s="582"/>
      <c r="T284" s="582"/>
      <c r="U284" s="582"/>
      <c r="V284" s="582"/>
      <c r="W284" s="582"/>
      <c r="X284" s="582"/>
      <c r="Y284" s="582"/>
      <c r="Z284" s="582"/>
      <c r="AA284" s="582"/>
      <c r="AB284" s="260"/>
      <c r="AC284" s="582"/>
      <c r="AD284" s="582"/>
      <c r="AE284" s="582"/>
      <c r="AI284" s="260"/>
    </row>
    <row r="285" spans="15:35">
      <c r="O285" s="259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82"/>
      <c r="AB285" s="260"/>
      <c r="AC285" s="582"/>
      <c r="AD285" s="582"/>
      <c r="AE285" s="582"/>
      <c r="AI285" s="260"/>
    </row>
    <row r="286" spans="15:35">
      <c r="O286" s="259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82"/>
      <c r="AB286" s="260"/>
      <c r="AC286" s="582"/>
      <c r="AD286" s="582"/>
      <c r="AE286" s="582"/>
      <c r="AI286" s="260"/>
    </row>
    <row r="287" spans="15:35">
      <c r="O287" s="259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82"/>
      <c r="AB287" s="260"/>
      <c r="AC287" s="582"/>
      <c r="AD287" s="582"/>
      <c r="AE287" s="582"/>
      <c r="AI287" s="260"/>
    </row>
    <row r="288" spans="15:35">
      <c r="O288" s="259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82"/>
      <c r="AB288" s="260"/>
      <c r="AC288" s="582"/>
      <c r="AD288" s="582"/>
      <c r="AE288" s="582"/>
      <c r="AI288" s="260"/>
    </row>
    <row r="289" spans="15:35">
      <c r="O289" s="259"/>
      <c r="P289" s="582"/>
      <c r="Q289" s="582"/>
      <c r="R289" s="582"/>
      <c r="S289" s="582"/>
      <c r="T289" s="582"/>
      <c r="U289" s="582"/>
      <c r="V289" s="582"/>
      <c r="W289" s="582"/>
      <c r="X289" s="582"/>
      <c r="Y289" s="582"/>
      <c r="Z289" s="582"/>
      <c r="AA289" s="582"/>
      <c r="AB289" s="260"/>
      <c r="AC289" s="582"/>
      <c r="AD289" s="582"/>
      <c r="AE289" s="582"/>
      <c r="AI289" s="260"/>
    </row>
    <row r="290" spans="15:35">
      <c r="O290" s="259"/>
      <c r="P290" s="582"/>
      <c r="Q290" s="582"/>
      <c r="R290" s="582"/>
      <c r="S290" s="582"/>
      <c r="T290" s="582"/>
      <c r="U290" s="582"/>
      <c r="V290" s="582"/>
      <c r="W290" s="582"/>
      <c r="X290" s="582"/>
      <c r="Y290" s="582"/>
      <c r="Z290" s="582"/>
      <c r="AA290" s="582"/>
      <c r="AB290" s="260"/>
      <c r="AC290" s="582"/>
      <c r="AD290" s="582"/>
      <c r="AE290" s="582"/>
      <c r="AI290" s="260"/>
    </row>
    <row r="291" spans="15:35">
      <c r="O291" s="259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82"/>
      <c r="AB291" s="260"/>
      <c r="AC291" s="582"/>
      <c r="AD291" s="582"/>
      <c r="AE291" s="582"/>
      <c r="AI291" s="260"/>
    </row>
    <row r="292" spans="15:35">
      <c r="O292" s="259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82"/>
      <c r="AB292" s="260"/>
      <c r="AC292" s="582"/>
      <c r="AD292" s="582"/>
      <c r="AE292" s="582"/>
      <c r="AI292" s="260"/>
    </row>
    <row r="293" spans="15:35">
      <c r="O293" s="259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82"/>
      <c r="AB293" s="260"/>
      <c r="AC293" s="582"/>
      <c r="AD293" s="582"/>
      <c r="AE293" s="582"/>
      <c r="AI293" s="260"/>
    </row>
    <row r="294" spans="15:35">
      <c r="O294" s="259"/>
      <c r="P294" s="582"/>
      <c r="Q294" s="582"/>
      <c r="R294" s="582"/>
      <c r="S294" s="582"/>
      <c r="T294" s="582"/>
      <c r="U294" s="582"/>
      <c r="V294" s="582"/>
      <c r="W294" s="582"/>
      <c r="X294" s="582"/>
      <c r="Y294" s="582"/>
      <c r="Z294" s="582"/>
      <c r="AA294" s="582"/>
      <c r="AB294" s="260"/>
      <c r="AC294" s="582"/>
      <c r="AD294" s="582"/>
      <c r="AE294" s="582"/>
      <c r="AI294" s="260"/>
    </row>
    <row r="295" spans="15:35">
      <c r="O295" s="259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82"/>
      <c r="AB295" s="260"/>
      <c r="AC295" s="582"/>
      <c r="AD295" s="582"/>
      <c r="AE295" s="582"/>
      <c r="AI295" s="260"/>
    </row>
    <row r="296" spans="15:35">
      <c r="O296" s="259"/>
      <c r="P296" s="582"/>
      <c r="Q296" s="582"/>
      <c r="R296" s="582"/>
      <c r="S296" s="582"/>
      <c r="T296" s="582"/>
      <c r="U296" s="582"/>
      <c r="V296" s="582"/>
      <c r="W296" s="582"/>
      <c r="X296" s="582"/>
      <c r="Y296" s="582"/>
      <c r="Z296" s="582"/>
      <c r="AA296" s="582"/>
      <c r="AB296" s="260"/>
      <c r="AC296" s="582"/>
      <c r="AD296" s="582"/>
      <c r="AE296" s="582"/>
      <c r="AI296" s="260"/>
    </row>
    <row r="297" spans="15:35">
      <c r="O297" s="259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82"/>
      <c r="AB297" s="260"/>
      <c r="AC297" s="582"/>
      <c r="AD297" s="582"/>
      <c r="AE297" s="582"/>
      <c r="AI297" s="260"/>
    </row>
    <row r="298" spans="15:35">
      <c r="O298" s="259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82"/>
      <c r="AB298" s="260"/>
      <c r="AC298" s="582"/>
      <c r="AD298" s="582"/>
      <c r="AE298" s="582"/>
      <c r="AI298" s="260"/>
    </row>
    <row r="299" spans="15:35">
      <c r="O299" s="259"/>
      <c r="P299" s="582"/>
      <c r="Q299" s="582"/>
      <c r="R299" s="582"/>
      <c r="S299" s="582"/>
      <c r="T299" s="582"/>
      <c r="U299" s="582"/>
      <c r="V299" s="582"/>
      <c r="W299" s="582"/>
      <c r="X299" s="582"/>
      <c r="Y299" s="582"/>
      <c r="Z299" s="582"/>
      <c r="AA299" s="582"/>
      <c r="AB299" s="260"/>
      <c r="AC299" s="582"/>
      <c r="AD299" s="582"/>
      <c r="AE299" s="582"/>
      <c r="AI299" s="260"/>
    </row>
    <row r="300" spans="15:35">
      <c r="O300" s="259"/>
      <c r="P300" s="582"/>
      <c r="Q300" s="582"/>
      <c r="R300" s="582"/>
      <c r="S300" s="582"/>
      <c r="T300" s="582"/>
      <c r="U300" s="582"/>
      <c r="V300" s="582"/>
      <c r="W300" s="582"/>
      <c r="X300" s="582"/>
      <c r="Y300" s="582"/>
      <c r="Z300" s="582"/>
      <c r="AA300" s="582"/>
      <c r="AB300" s="260"/>
      <c r="AC300" s="582"/>
      <c r="AD300" s="582"/>
      <c r="AE300" s="582"/>
      <c r="AI300" s="260"/>
    </row>
    <row r="301" spans="15:35">
      <c r="O301" s="259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82"/>
      <c r="AB301" s="260"/>
      <c r="AC301" s="582"/>
      <c r="AD301" s="582"/>
      <c r="AE301" s="582"/>
      <c r="AI301" s="260"/>
    </row>
    <row r="302" spans="15:35">
      <c r="O302" s="259"/>
      <c r="P302" s="582"/>
      <c r="Q302" s="582"/>
      <c r="R302" s="582"/>
      <c r="S302" s="582"/>
      <c r="T302" s="582"/>
      <c r="U302" s="582"/>
      <c r="V302" s="582"/>
      <c r="W302" s="582"/>
      <c r="X302" s="582"/>
      <c r="Y302" s="582"/>
      <c r="Z302" s="582"/>
      <c r="AA302" s="582"/>
      <c r="AB302" s="260"/>
      <c r="AC302" s="582"/>
      <c r="AD302" s="582"/>
      <c r="AE302" s="582"/>
      <c r="AI302" s="260"/>
    </row>
    <row r="303" spans="15:35">
      <c r="O303" s="259"/>
      <c r="P303" s="582"/>
      <c r="Q303" s="582"/>
      <c r="R303" s="582"/>
      <c r="S303" s="582"/>
      <c r="T303" s="582"/>
      <c r="U303" s="582"/>
      <c r="V303" s="582"/>
      <c r="W303" s="582"/>
      <c r="X303" s="582"/>
      <c r="Y303" s="582"/>
      <c r="Z303" s="582"/>
      <c r="AA303" s="582"/>
      <c r="AB303" s="260"/>
      <c r="AC303" s="582"/>
      <c r="AD303" s="582"/>
      <c r="AE303" s="582"/>
      <c r="AI303" s="260"/>
    </row>
    <row r="304" spans="15:35">
      <c r="O304" s="259"/>
      <c r="P304" s="582"/>
      <c r="Q304" s="582"/>
      <c r="R304" s="582"/>
      <c r="S304" s="582"/>
      <c r="T304" s="582"/>
      <c r="U304" s="582"/>
      <c r="V304" s="582"/>
      <c r="W304" s="582"/>
      <c r="X304" s="582"/>
      <c r="Y304" s="582"/>
      <c r="Z304" s="582"/>
      <c r="AA304" s="582"/>
      <c r="AB304" s="260"/>
      <c r="AC304" s="582"/>
      <c r="AD304" s="582"/>
      <c r="AE304" s="582"/>
      <c r="AI304" s="260"/>
    </row>
    <row r="305" spans="15:35">
      <c r="O305" s="259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82"/>
      <c r="AB305" s="260"/>
      <c r="AC305" s="582"/>
      <c r="AD305" s="582"/>
      <c r="AE305" s="582"/>
      <c r="AI305" s="260"/>
    </row>
    <row r="306" spans="15:35">
      <c r="O306" s="259"/>
      <c r="P306" s="582"/>
      <c r="Q306" s="582"/>
      <c r="R306" s="582"/>
      <c r="S306" s="582"/>
      <c r="T306" s="582"/>
      <c r="U306" s="582"/>
      <c r="V306" s="582"/>
      <c r="W306" s="582"/>
      <c r="X306" s="582"/>
      <c r="Y306" s="582"/>
      <c r="Z306" s="582"/>
      <c r="AA306" s="582"/>
      <c r="AB306" s="260"/>
      <c r="AC306" s="582"/>
      <c r="AD306" s="582"/>
      <c r="AE306" s="582"/>
      <c r="AI306" s="260"/>
    </row>
    <row r="307" spans="15:35">
      <c r="O307" s="259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82"/>
      <c r="AB307" s="260"/>
      <c r="AC307" s="582"/>
      <c r="AD307" s="582"/>
      <c r="AE307" s="582"/>
      <c r="AI307" s="260"/>
    </row>
    <row r="308" spans="15:35">
      <c r="O308" s="259"/>
      <c r="P308" s="582"/>
      <c r="Q308" s="582"/>
      <c r="R308" s="582"/>
      <c r="S308" s="582"/>
      <c r="T308" s="582"/>
      <c r="U308" s="582"/>
      <c r="V308" s="582"/>
      <c r="W308" s="582"/>
      <c r="X308" s="582"/>
      <c r="Y308" s="582"/>
      <c r="Z308" s="582"/>
      <c r="AA308" s="582"/>
      <c r="AB308" s="260"/>
      <c r="AC308" s="582"/>
      <c r="AD308" s="582"/>
      <c r="AE308" s="582"/>
      <c r="AI308" s="260"/>
    </row>
    <row r="309" spans="15:35">
      <c r="O309" s="259"/>
      <c r="P309" s="582"/>
      <c r="Q309" s="582"/>
      <c r="R309" s="582"/>
      <c r="S309" s="582"/>
      <c r="T309" s="582"/>
      <c r="U309" s="582"/>
      <c r="V309" s="582"/>
      <c r="W309" s="582"/>
      <c r="X309" s="582"/>
      <c r="Y309" s="582"/>
      <c r="Z309" s="582"/>
      <c r="AA309" s="582"/>
      <c r="AB309" s="260"/>
      <c r="AC309" s="582"/>
      <c r="AD309" s="582"/>
      <c r="AE309" s="582"/>
      <c r="AI309" s="260"/>
    </row>
    <row r="310" spans="15:35">
      <c r="O310" s="259"/>
      <c r="P310" s="582"/>
      <c r="Q310" s="582"/>
      <c r="R310" s="582"/>
      <c r="S310" s="582"/>
      <c r="T310" s="582"/>
      <c r="U310" s="582"/>
      <c r="V310" s="582"/>
      <c r="W310" s="582"/>
      <c r="X310" s="582"/>
      <c r="Y310" s="582"/>
      <c r="Z310" s="582"/>
      <c r="AA310" s="582"/>
      <c r="AB310" s="260"/>
      <c r="AC310" s="582"/>
      <c r="AD310" s="582"/>
      <c r="AE310" s="582"/>
      <c r="AI310" s="260"/>
    </row>
    <row r="311" spans="15:35">
      <c r="O311" s="259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82"/>
      <c r="AB311" s="260"/>
      <c r="AC311" s="582"/>
      <c r="AD311" s="582"/>
      <c r="AE311" s="582"/>
      <c r="AI311" s="260"/>
    </row>
    <row r="312" spans="15:35">
      <c r="O312" s="259"/>
      <c r="P312" s="582"/>
      <c r="Q312" s="582"/>
      <c r="R312" s="582"/>
      <c r="S312" s="582"/>
      <c r="T312" s="582"/>
      <c r="U312" s="582"/>
      <c r="V312" s="582"/>
      <c r="W312" s="582"/>
      <c r="X312" s="582"/>
      <c r="Y312" s="582"/>
      <c r="Z312" s="582"/>
      <c r="AA312" s="582"/>
      <c r="AB312" s="260"/>
      <c r="AC312" s="582"/>
      <c r="AD312" s="582"/>
      <c r="AE312" s="582"/>
      <c r="AI312" s="260"/>
    </row>
    <row r="313" spans="15:35">
      <c r="O313" s="259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82"/>
      <c r="AB313" s="260"/>
      <c r="AC313" s="582"/>
      <c r="AD313" s="582"/>
      <c r="AE313" s="582"/>
      <c r="AI313" s="260"/>
    </row>
    <row r="314" spans="15:35">
      <c r="O314" s="259"/>
      <c r="P314" s="582"/>
      <c r="Q314" s="582"/>
      <c r="R314" s="582"/>
      <c r="S314" s="582"/>
      <c r="T314" s="582"/>
      <c r="U314" s="582"/>
      <c r="V314" s="582"/>
      <c r="W314" s="582"/>
      <c r="X314" s="582"/>
      <c r="Y314" s="582"/>
      <c r="Z314" s="582"/>
      <c r="AA314" s="582"/>
      <c r="AB314" s="260"/>
      <c r="AC314" s="582"/>
      <c r="AD314" s="582"/>
      <c r="AE314" s="582"/>
      <c r="AI314" s="260"/>
    </row>
    <row r="315" spans="15:35">
      <c r="O315" s="259"/>
      <c r="P315" s="582"/>
      <c r="Q315" s="582"/>
      <c r="R315" s="582"/>
      <c r="S315" s="582"/>
      <c r="T315" s="582"/>
      <c r="U315" s="582"/>
      <c r="V315" s="582"/>
      <c r="W315" s="582"/>
      <c r="X315" s="582"/>
      <c r="Y315" s="582"/>
      <c r="Z315" s="582"/>
      <c r="AA315" s="582"/>
      <c r="AB315" s="260"/>
      <c r="AC315" s="582"/>
      <c r="AD315" s="582"/>
      <c r="AE315" s="582"/>
      <c r="AI315" s="260"/>
    </row>
    <row r="316" spans="15:35">
      <c r="O316" s="259"/>
      <c r="P316" s="582"/>
      <c r="Q316" s="582"/>
      <c r="R316" s="582"/>
      <c r="S316" s="582"/>
      <c r="T316" s="582"/>
      <c r="U316" s="582"/>
      <c r="V316" s="582"/>
      <c r="W316" s="582"/>
      <c r="X316" s="582"/>
      <c r="Y316" s="582"/>
      <c r="Z316" s="582"/>
      <c r="AA316" s="582"/>
      <c r="AB316" s="260"/>
      <c r="AC316" s="582"/>
      <c r="AD316" s="582"/>
      <c r="AE316" s="582"/>
      <c r="AI316" s="260"/>
    </row>
    <row r="317" spans="15:35">
      <c r="O317" s="259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82"/>
      <c r="AB317" s="260"/>
      <c r="AC317" s="582"/>
      <c r="AD317" s="582"/>
      <c r="AE317" s="582"/>
      <c r="AI317" s="260"/>
    </row>
    <row r="318" spans="15:35">
      <c r="O318" s="259"/>
      <c r="P318" s="582"/>
      <c r="Q318" s="582"/>
      <c r="R318" s="582"/>
      <c r="S318" s="582"/>
      <c r="T318" s="582"/>
      <c r="U318" s="582"/>
      <c r="V318" s="582"/>
      <c r="W318" s="582"/>
      <c r="X318" s="582"/>
      <c r="Y318" s="582"/>
      <c r="Z318" s="582"/>
      <c r="AA318" s="582"/>
      <c r="AB318" s="260"/>
      <c r="AC318" s="582"/>
      <c r="AD318" s="582"/>
      <c r="AE318" s="582"/>
      <c r="AI318" s="260"/>
    </row>
    <row r="319" spans="15:35">
      <c r="O319" s="259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82"/>
      <c r="AB319" s="260"/>
      <c r="AC319" s="582"/>
      <c r="AD319" s="582"/>
      <c r="AE319" s="582"/>
      <c r="AI319" s="260"/>
    </row>
    <row r="320" spans="15:35">
      <c r="O320" s="259"/>
      <c r="P320" s="582"/>
      <c r="Q320" s="582"/>
      <c r="R320" s="582"/>
      <c r="S320" s="582"/>
      <c r="T320" s="582"/>
      <c r="U320" s="582"/>
      <c r="V320" s="582"/>
      <c r="W320" s="582"/>
      <c r="X320" s="582"/>
      <c r="Y320" s="582"/>
      <c r="Z320" s="582"/>
      <c r="AA320" s="582"/>
      <c r="AB320" s="260"/>
      <c r="AC320" s="582"/>
      <c r="AD320" s="582"/>
      <c r="AE320" s="582"/>
      <c r="AI320" s="260"/>
    </row>
    <row r="321" spans="15:35">
      <c r="O321" s="259"/>
      <c r="P321" s="582"/>
      <c r="Q321" s="582"/>
      <c r="R321" s="582"/>
      <c r="S321" s="582"/>
      <c r="T321" s="582"/>
      <c r="U321" s="582"/>
      <c r="V321" s="582"/>
      <c r="W321" s="582"/>
      <c r="X321" s="582"/>
      <c r="Y321" s="582"/>
      <c r="Z321" s="582"/>
      <c r="AA321" s="582"/>
      <c r="AB321" s="260"/>
      <c r="AC321" s="582"/>
      <c r="AD321" s="582"/>
      <c r="AE321" s="582"/>
      <c r="AI321" s="260"/>
    </row>
    <row r="322" spans="15:35">
      <c r="O322" s="259"/>
      <c r="P322" s="582"/>
      <c r="Q322" s="582"/>
      <c r="R322" s="582"/>
      <c r="S322" s="582"/>
      <c r="T322" s="582"/>
      <c r="U322" s="582"/>
      <c r="V322" s="582"/>
      <c r="W322" s="582"/>
      <c r="X322" s="582"/>
      <c r="Y322" s="582"/>
      <c r="Z322" s="582"/>
      <c r="AA322" s="582"/>
      <c r="AB322" s="260"/>
      <c r="AC322" s="582"/>
      <c r="AD322" s="582"/>
      <c r="AE322" s="582"/>
      <c r="AI322" s="260"/>
    </row>
    <row r="323" spans="15:35">
      <c r="O323" s="259"/>
      <c r="P323" s="582"/>
      <c r="Q323" s="582"/>
      <c r="R323" s="582"/>
      <c r="S323" s="582"/>
      <c r="T323" s="582"/>
      <c r="U323" s="582"/>
      <c r="V323" s="582"/>
      <c r="W323" s="582"/>
      <c r="X323" s="582"/>
      <c r="Y323" s="582"/>
      <c r="Z323" s="582"/>
      <c r="AA323" s="582"/>
      <c r="AB323" s="260"/>
      <c r="AC323" s="582"/>
      <c r="AD323" s="582"/>
      <c r="AE323" s="582"/>
      <c r="AI323" s="260"/>
    </row>
    <row r="324" spans="15:35">
      <c r="O324" s="259"/>
      <c r="P324" s="582"/>
      <c r="Q324" s="582"/>
      <c r="R324" s="582"/>
      <c r="S324" s="582"/>
      <c r="T324" s="582"/>
      <c r="U324" s="582"/>
      <c r="V324" s="582"/>
      <c r="W324" s="582"/>
      <c r="X324" s="582"/>
      <c r="Y324" s="582"/>
      <c r="Z324" s="582"/>
      <c r="AA324" s="582"/>
      <c r="AB324" s="260"/>
      <c r="AC324" s="582"/>
      <c r="AD324" s="582"/>
      <c r="AE324" s="582"/>
      <c r="AI324" s="260"/>
    </row>
    <row r="325" spans="15:35">
      <c r="O325" s="259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82"/>
      <c r="AB325" s="260"/>
      <c r="AC325" s="582"/>
      <c r="AD325" s="582"/>
      <c r="AE325" s="582"/>
      <c r="AI325" s="260"/>
    </row>
    <row r="326" spans="15:35">
      <c r="O326" s="259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82"/>
      <c r="AB326" s="260"/>
      <c r="AC326" s="582"/>
      <c r="AD326" s="582"/>
      <c r="AE326" s="582"/>
      <c r="AI326" s="260"/>
    </row>
    <row r="327" spans="15:35">
      <c r="O327" s="259"/>
      <c r="P327" s="582"/>
      <c r="Q327" s="582"/>
      <c r="R327" s="582"/>
      <c r="S327" s="582"/>
      <c r="T327" s="582"/>
      <c r="U327" s="582"/>
      <c r="V327" s="582"/>
      <c r="W327" s="582"/>
      <c r="X327" s="582"/>
      <c r="Y327" s="582"/>
      <c r="Z327" s="582"/>
      <c r="AA327" s="582"/>
      <c r="AB327" s="260"/>
      <c r="AC327" s="582"/>
      <c r="AD327" s="582"/>
      <c r="AE327" s="582"/>
      <c r="AI327" s="260"/>
    </row>
    <row r="328" spans="15:35">
      <c r="O328" s="259"/>
      <c r="P328" s="582"/>
      <c r="Q328" s="582"/>
      <c r="R328" s="582"/>
      <c r="S328" s="582"/>
      <c r="T328" s="582"/>
      <c r="U328" s="582"/>
      <c r="V328" s="582"/>
      <c r="W328" s="582"/>
      <c r="X328" s="582"/>
      <c r="Y328" s="582"/>
      <c r="Z328" s="582"/>
      <c r="AA328" s="582"/>
      <c r="AB328" s="260"/>
      <c r="AC328" s="582"/>
      <c r="AD328" s="582"/>
      <c r="AE328" s="582"/>
      <c r="AI328" s="260"/>
    </row>
    <row r="329" spans="15:35">
      <c r="O329" s="259"/>
      <c r="P329" s="582"/>
      <c r="Q329" s="582"/>
      <c r="R329" s="582"/>
      <c r="S329" s="582"/>
      <c r="T329" s="582"/>
      <c r="U329" s="582"/>
      <c r="V329" s="582"/>
      <c r="W329" s="582"/>
      <c r="X329" s="582"/>
      <c r="Y329" s="582"/>
      <c r="Z329" s="582"/>
      <c r="AA329" s="582"/>
      <c r="AB329" s="260"/>
      <c r="AC329" s="582"/>
      <c r="AD329" s="582"/>
      <c r="AE329" s="582"/>
      <c r="AI329" s="260"/>
    </row>
    <row r="330" spans="15:35">
      <c r="O330" s="259"/>
      <c r="P330" s="582"/>
      <c r="Q330" s="582"/>
      <c r="R330" s="582"/>
      <c r="S330" s="582"/>
      <c r="T330" s="582"/>
      <c r="U330" s="582"/>
      <c r="V330" s="582"/>
      <c r="W330" s="582"/>
      <c r="X330" s="582"/>
      <c r="Y330" s="582"/>
      <c r="Z330" s="582"/>
      <c r="AA330" s="582"/>
      <c r="AB330" s="260"/>
      <c r="AC330" s="582"/>
      <c r="AD330" s="582"/>
      <c r="AE330" s="582"/>
      <c r="AI330" s="260"/>
    </row>
    <row r="331" spans="15:35">
      <c r="O331" s="259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82"/>
      <c r="AB331" s="260"/>
      <c r="AC331" s="582"/>
      <c r="AD331" s="582"/>
      <c r="AE331" s="582"/>
      <c r="AI331" s="260"/>
    </row>
    <row r="332" spans="15:35">
      <c r="O332" s="259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82"/>
      <c r="AB332" s="260"/>
      <c r="AC332" s="582"/>
      <c r="AD332" s="582"/>
      <c r="AE332" s="582"/>
      <c r="AI332" s="260"/>
    </row>
    <row r="333" spans="15:35">
      <c r="O333" s="259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82"/>
      <c r="AB333" s="260"/>
      <c r="AC333" s="582"/>
      <c r="AD333" s="582"/>
      <c r="AE333" s="582"/>
      <c r="AI333" s="260"/>
    </row>
    <row r="334" spans="15:35">
      <c r="O334" s="259"/>
      <c r="P334" s="582"/>
      <c r="Q334" s="582"/>
      <c r="R334" s="582"/>
      <c r="S334" s="582"/>
      <c r="T334" s="582"/>
      <c r="U334" s="582"/>
      <c r="V334" s="582"/>
      <c r="W334" s="582"/>
      <c r="X334" s="582"/>
      <c r="Y334" s="582"/>
      <c r="Z334" s="582"/>
      <c r="AA334" s="582"/>
      <c r="AB334" s="260"/>
      <c r="AC334" s="582"/>
      <c r="AD334" s="582"/>
      <c r="AE334" s="582"/>
      <c r="AI334" s="260"/>
    </row>
    <row r="335" spans="15:35">
      <c r="O335" s="259"/>
      <c r="P335" s="582"/>
      <c r="Q335" s="582"/>
      <c r="R335" s="582"/>
      <c r="S335" s="582"/>
      <c r="T335" s="582"/>
      <c r="U335" s="582"/>
      <c r="V335" s="582"/>
      <c r="W335" s="582"/>
      <c r="X335" s="582"/>
      <c r="Y335" s="582"/>
      <c r="Z335" s="582"/>
      <c r="AA335" s="582"/>
      <c r="AB335" s="260"/>
      <c r="AC335" s="582"/>
      <c r="AD335" s="582"/>
      <c r="AE335" s="582"/>
      <c r="AI335" s="260"/>
    </row>
    <row r="336" spans="15:35">
      <c r="O336" s="259"/>
      <c r="P336" s="582"/>
      <c r="Q336" s="582"/>
      <c r="R336" s="582"/>
      <c r="S336" s="582"/>
      <c r="T336" s="582"/>
      <c r="U336" s="582"/>
      <c r="V336" s="582"/>
      <c r="W336" s="582"/>
      <c r="X336" s="582"/>
      <c r="Y336" s="582"/>
      <c r="Z336" s="582"/>
      <c r="AA336" s="582"/>
      <c r="AB336" s="260"/>
      <c r="AC336" s="582"/>
      <c r="AD336" s="582"/>
      <c r="AE336" s="582"/>
      <c r="AI336" s="260"/>
    </row>
    <row r="337" spans="15:35">
      <c r="O337" s="259"/>
      <c r="P337" s="582"/>
      <c r="Q337" s="582"/>
      <c r="R337" s="582"/>
      <c r="S337" s="582"/>
      <c r="T337" s="582"/>
      <c r="U337" s="582"/>
      <c r="V337" s="582"/>
      <c r="W337" s="582"/>
      <c r="X337" s="582"/>
      <c r="Y337" s="582"/>
      <c r="Z337" s="582"/>
      <c r="AA337" s="582"/>
      <c r="AB337" s="260"/>
      <c r="AC337" s="582"/>
      <c r="AD337" s="582"/>
      <c r="AE337" s="582"/>
      <c r="AI337" s="260"/>
    </row>
    <row r="338" spans="15:35">
      <c r="O338" s="259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82"/>
      <c r="AB338" s="260"/>
      <c r="AC338" s="582"/>
      <c r="AD338" s="582"/>
      <c r="AE338" s="582"/>
      <c r="AI338" s="260"/>
    </row>
    <row r="339" spans="15:35">
      <c r="O339" s="259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82"/>
      <c r="AB339" s="260"/>
      <c r="AC339" s="582"/>
      <c r="AD339" s="582"/>
      <c r="AE339" s="582"/>
      <c r="AI339" s="260"/>
    </row>
    <row r="340" spans="15:35">
      <c r="O340" s="259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82"/>
      <c r="AB340" s="260"/>
      <c r="AC340" s="582"/>
      <c r="AD340" s="582"/>
      <c r="AE340" s="582"/>
      <c r="AI340" s="260"/>
    </row>
    <row r="341" spans="15:35">
      <c r="O341" s="259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82"/>
      <c r="AB341" s="260"/>
      <c r="AC341" s="582"/>
      <c r="AD341" s="582"/>
      <c r="AE341" s="582"/>
      <c r="AI341" s="260"/>
    </row>
    <row r="342" spans="15:35">
      <c r="O342" s="259"/>
      <c r="P342" s="582"/>
      <c r="Q342" s="582"/>
      <c r="R342" s="582"/>
      <c r="S342" s="582"/>
      <c r="T342" s="582"/>
      <c r="U342" s="582"/>
      <c r="V342" s="582"/>
      <c r="W342" s="582"/>
      <c r="X342" s="582"/>
      <c r="Y342" s="582"/>
      <c r="Z342" s="582"/>
      <c r="AA342" s="582"/>
      <c r="AB342" s="260"/>
      <c r="AC342" s="582"/>
      <c r="AD342" s="582"/>
      <c r="AE342" s="582"/>
      <c r="AI342" s="260"/>
    </row>
    <row r="343" spans="15:35">
      <c r="O343" s="259"/>
      <c r="P343" s="582"/>
      <c r="Q343" s="582"/>
      <c r="R343" s="582"/>
      <c r="S343" s="582"/>
      <c r="T343" s="582"/>
      <c r="U343" s="582"/>
      <c r="V343" s="582"/>
      <c r="W343" s="582"/>
      <c r="X343" s="582"/>
      <c r="Y343" s="582"/>
      <c r="Z343" s="582"/>
      <c r="AA343" s="582"/>
      <c r="AB343" s="260"/>
      <c r="AC343" s="582"/>
      <c r="AD343" s="582"/>
      <c r="AE343" s="582"/>
      <c r="AI343" s="260"/>
    </row>
    <row r="344" spans="15:35">
      <c r="O344" s="259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82"/>
      <c r="AB344" s="260"/>
      <c r="AC344" s="582"/>
      <c r="AD344" s="582"/>
      <c r="AE344" s="582"/>
      <c r="AI344" s="260"/>
    </row>
    <row r="345" spans="15:35">
      <c r="O345" s="259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82"/>
      <c r="AB345" s="260"/>
      <c r="AC345" s="582"/>
      <c r="AD345" s="582"/>
      <c r="AE345" s="582"/>
      <c r="AI345" s="260"/>
    </row>
    <row r="346" spans="15:35">
      <c r="O346" s="259"/>
      <c r="P346" s="582"/>
      <c r="Q346" s="582"/>
      <c r="R346" s="582"/>
      <c r="S346" s="582"/>
      <c r="T346" s="582"/>
      <c r="U346" s="582"/>
      <c r="V346" s="582"/>
      <c r="W346" s="582"/>
      <c r="X346" s="582"/>
      <c r="Y346" s="582"/>
      <c r="Z346" s="582"/>
      <c r="AA346" s="582"/>
      <c r="AB346" s="260"/>
      <c r="AC346" s="582"/>
      <c r="AD346" s="582"/>
      <c r="AE346" s="582"/>
      <c r="AI346" s="260"/>
    </row>
    <row r="347" spans="15:35">
      <c r="O347" s="259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82"/>
      <c r="AB347" s="260"/>
      <c r="AC347" s="582"/>
      <c r="AD347" s="582"/>
      <c r="AE347" s="582"/>
      <c r="AI347" s="260"/>
    </row>
    <row r="348" spans="15:35">
      <c r="O348" s="259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82"/>
      <c r="AB348" s="260"/>
      <c r="AC348" s="582"/>
      <c r="AD348" s="582"/>
      <c r="AE348" s="582"/>
      <c r="AI348" s="260"/>
    </row>
    <row r="349" spans="15:35">
      <c r="O349" s="259"/>
      <c r="P349" s="582"/>
      <c r="Q349" s="582"/>
      <c r="R349" s="582"/>
      <c r="S349" s="582"/>
      <c r="T349" s="582"/>
      <c r="U349" s="582"/>
      <c r="V349" s="582"/>
      <c r="W349" s="582"/>
      <c r="X349" s="582"/>
      <c r="Y349" s="582"/>
      <c r="Z349" s="582"/>
      <c r="AA349" s="582"/>
      <c r="AB349" s="260"/>
      <c r="AC349" s="582"/>
      <c r="AD349" s="582"/>
      <c r="AE349" s="582"/>
      <c r="AI349" s="260"/>
    </row>
    <row r="350" spans="15:35">
      <c r="O350" s="259"/>
      <c r="P350" s="582"/>
      <c r="Q350" s="582"/>
      <c r="R350" s="582"/>
      <c r="S350" s="582"/>
      <c r="T350" s="582"/>
      <c r="U350" s="582"/>
      <c r="V350" s="582"/>
      <c r="W350" s="582"/>
      <c r="X350" s="582"/>
      <c r="Y350" s="582"/>
      <c r="Z350" s="582"/>
      <c r="AA350" s="582"/>
      <c r="AB350" s="260"/>
      <c r="AC350" s="582"/>
      <c r="AD350" s="582"/>
      <c r="AE350" s="582"/>
      <c r="AI350" s="260"/>
    </row>
    <row r="351" spans="15:35">
      <c r="O351" s="259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82"/>
      <c r="AB351" s="260"/>
      <c r="AC351" s="582"/>
      <c r="AD351" s="582"/>
      <c r="AE351" s="582"/>
      <c r="AI351" s="260"/>
    </row>
    <row r="352" spans="15:35">
      <c r="O352" s="259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82"/>
      <c r="AB352" s="260"/>
      <c r="AC352" s="582"/>
      <c r="AD352" s="582"/>
      <c r="AE352" s="582"/>
      <c r="AI352" s="260"/>
    </row>
    <row r="353" spans="15:35">
      <c r="O353" s="259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82"/>
      <c r="AB353" s="260"/>
      <c r="AC353" s="582"/>
      <c r="AD353" s="582"/>
      <c r="AE353" s="582"/>
      <c r="AI353" s="260"/>
    </row>
    <row r="354" spans="15:35">
      <c r="O354" s="259"/>
      <c r="P354" s="582"/>
      <c r="Q354" s="582"/>
      <c r="R354" s="582"/>
      <c r="S354" s="582"/>
      <c r="T354" s="582"/>
      <c r="U354" s="582"/>
      <c r="V354" s="582"/>
      <c r="W354" s="582"/>
      <c r="X354" s="582"/>
      <c r="Y354" s="582"/>
      <c r="Z354" s="582"/>
      <c r="AA354" s="582"/>
      <c r="AB354" s="260"/>
      <c r="AC354" s="582"/>
      <c r="AD354" s="582"/>
      <c r="AE354" s="582"/>
      <c r="AI354" s="260"/>
    </row>
    <row r="355" spans="15:35">
      <c r="O355" s="259"/>
      <c r="P355" s="582"/>
      <c r="Q355" s="582"/>
      <c r="R355" s="582"/>
      <c r="S355" s="582"/>
      <c r="T355" s="582"/>
      <c r="U355" s="582"/>
      <c r="V355" s="582"/>
      <c r="W355" s="582"/>
      <c r="X355" s="582"/>
      <c r="Y355" s="582"/>
      <c r="Z355" s="582"/>
      <c r="AA355" s="582"/>
      <c r="AB355" s="260"/>
      <c r="AC355" s="582"/>
      <c r="AD355" s="582"/>
      <c r="AE355" s="582"/>
      <c r="AI355" s="260"/>
    </row>
    <row r="356" spans="15:35">
      <c r="O356" s="259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82"/>
      <c r="AB356" s="260"/>
      <c r="AC356" s="582"/>
      <c r="AD356" s="582"/>
      <c r="AE356" s="582"/>
      <c r="AI356" s="260"/>
    </row>
    <row r="357" spans="15:35">
      <c r="O357" s="259"/>
      <c r="P357" s="582"/>
      <c r="Q357" s="582"/>
      <c r="R357" s="582"/>
      <c r="S357" s="582"/>
      <c r="T357" s="582"/>
      <c r="U357" s="582"/>
      <c r="V357" s="582"/>
      <c r="W357" s="582"/>
      <c r="X357" s="582"/>
      <c r="Y357" s="582"/>
      <c r="Z357" s="582"/>
      <c r="AA357" s="582"/>
      <c r="AB357" s="260"/>
      <c r="AC357" s="582"/>
      <c r="AD357" s="582"/>
      <c r="AE357" s="582"/>
      <c r="AI357" s="260"/>
    </row>
    <row r="358" spans="15:35">
      <c r="O358" s="259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82"/>
      <c r="AB358" s="260"/>
      <c r="AC358" s="582"/>
      <c r="AD358" s="582"/>
      <c r="AE358" s="582"/>
      <c r="AI358" s="260"/>
    </row>
    <row r="359" spans="15:35">
      <c r="O359" s="259"/>
      <c r="P359" s="582"/>
      <c r="Q359" s="582"/>
      <c r="R359" s="582"/>
      <c r="S359" s="582"/>
      <c r="T359" s="582"/>
      <c r="U359" s="582"/>
      <c r="V359" s="582"/>
      <c r="W359" s="582"/>
      <c r="X359" s="582"/>
      <c r="Y359" s="582"/>
      <c r="Z359" s="582"/>
      <c r="AA359" s="582"/>
      <c r="AB359" s="260"/>
      <c r="AC359" s="582"/>
      <c r="AD359" s="582"/>
      <c r="AE359" s="582"/>
      <c r="AI359" s="260"/>
    </row>
    <row r="360" spans="15:35">
      <c r="O360" s="259"/>
      <c r="P360" s="582"/>
      <c r="Q360" s="582"/>
      <c r="R360" s="582"/>
      <c r="S360" s="582"/>
      <c r="T360" s="582"/>
      <c r="U360" s="582"/>
      <c r="V360" s="582"/>
      <c r="W360" s="582"/>
      <c r="X360" s="582"/>
      <c r="Y360" s="582"/>
      <c r="Z360" s="582"/>
      <c r="AA360" s="582"/>
      <c r="AB360" s="260"/>
      <c r="AC360" s="582"/>
      <c r="AD360" s="582"/>
      <c r="AE360" s="582"/>
      <c r="AI360" s="260"/>
    </row>
    <row r="361" spans="15:35">
      <c r="O361" s="259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82"/>
      <c r="AB361" s="260"/>
      <c r="AC361" s="582"/>
      <c r="AD361" s="582"/>
      <c r="AE361" s="582"/>
      <c r="AI361" s="260"/>
    </row>
    <row r="362" spans="15:35">
      <c r="O362" s="259"/>
      <c r="P362" s="582"/>
      <c r="Q362" s="582"/>
      <c r="R362" s="582"/>
      <c r="S362" s="582"/>
      <c r="T362" s="582"/>
      <c r="U362" s="582"/>
      <c r="V362" s="582"/>
      <c r="W362" s="582"/>
      <c r="X362" s="582"/>
      <c r="Y362" s="582"/>
      <c r="Z362" s="582"/>
      <c r="AA362" s="582"/>
      <c r="AB362" s="260"/>
      <c r="AC362" s="582"/>
      <c r="AD362" s="582"/>
      <c r="AE362" s="582"/>
      <c r="AI362" s="260"/>
    </row>
    <row r="363" spans="15:35">
      <c r="O363" s="259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82"/>
      <c r="AB363" s="260"/>
      <c r="AC363" s="582"/>
      <c r="AD363" s="582"/>
      <c r="AE363" s="582"/>
      <c r="AI363" s="260"/>
    </row>
    <row r="364" spans="15:35">
      <c r="O364" s="259"/>
      <c r="P364" s="582"/>
      <c r="Q364" s="582"/>
      <c r="R364" s="582"/>
      <c r="S364" s="582"/>
      <c r="T364" s="582"/>
      <c r="U364" s="582"/>
      <c r="V364" s="582"/>
      <c r="W364" s="582"/>
      <c r="X364" s="582"/>
      <c r="Y364" s="582"/>
      <c r="Z364" s="582"/>
      <c r="AA364" s="582"/>
      <c r="AB364" s="260"/>
      <c r="AC364" s="582"/>
      <c r="AD364" s="582"/>
      <c r="AE364" s="582"/>
      <c r="AI364" s="260"/>
    </row>
    <row r="365" spans="15:35">
      <c r="O365" s="259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82"/>
      <c r="AB365" s="260"/>
      <c r="AC365" s="582"/>
      <c r="AD365" s="582"/>
      <c r="AE365" s="582"/>
      <c r="AI365" s="260"/>
    </row>
    <row r="366" spans="15:35">
      <c r="O366" s="259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82"/>
      <c r="AB366" s="260"/>
      <c r="AC366" s="582"/>
      <c r="AD366" s="582"/>
      <c r="AE366" s="582"/>
      <c r="AI366" s="260"/>
    </row>
    <row r="367" spans="15:35">
      <c r="O367" s="259"/>
      <c r="P367" s="582"/>
      <c r="Q367" s="582"/>
      <c r="R367" s="582"/>
      <c r="S367" s="582"/>
      <c r="T367" s="582"/>
      <c r="U367" s="582"/>
      <c r="V367" s="582"/>
      <c r="W367" s="582"/>
      <c r="X367" s="582"/>
      <c r="Y367" s="582"/>
      <c r="Z367" s="582"/>
      <c r="AA367" s="582"/>
      <c r="AB367" s="260"/>
      <c r="AC367" s="582"/>
      <c r="AD367" s="582"/>
      <c r="AE367" s="582"/>
      <c r="AI367" s="260"/>
    </row>
    <row r="368" spans="15:35">
      <c r="O368" s="259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82"/>
      <c r="AB368" s="260"/>
      <c r="AC368" s="582"/>
      <c r="AD368" s="582"/>
      <c r="AE368" s="582"/>
      <c r="AI368" s="260"/>
    </row>
    <row r="369" spans="15:35">
      <c r="O369" s="259"/>
      <c r="P369" s="582"/>
      <c r="Q369" s="582"/>
      <c r="R369" s="582"/>
      <c r="S369" s="582"/>
      <c r="T369" s="582"/>
      <c r="U369" s="582"/>
      <c r="V369" s="582"/>
      <c r="W369" s="582"/>
      <c r="X369" s="582"/>
      <c r="Y369" s="582"/>
      <c r="Z369" s="582"/>
      <c r="AA369" s="582"/>
      <c r="AB369" s="260"/>
      <c r="AC369" s="582"/>
      <c r="AD369" s="582"/>
      <c r="AE369" s="582"/>
      <c r="AI369" s="260"/>
    </row>
    <row r="370" spans="15:35">
      <c r="O370" s="259"/>
      <c r="P370" s="582"/>
      <c r="Q370" s="582"/>
      <c r="R370" s="582"/>
      <c r="S370" s="582"/>
      <c r="T370" s="582"/>
      <c r="U370" s="582"/>
      <c r="V370" s="582"/>
      <c r="W370" s="582"/>
      <c r="X370" s="582"/>
      <c r="Y370" s="582"/>
      <c r="Z370" s="582"/>
      <c r="AA370" s="582"/>
      <c r="AB370" s="260"/>
      <c r="AC370" s="582"/>
      <c r="AD370" s="582"/>
      <c r="AE370" s="582"/>
      <c r="AI370" s="260"/>
    </row>
    <row r="371" spans="15:35">
      <c r="O371" s="259"/>
      <c r="P371" s="582"/>
      <c r="Q371" s="582"/>
      <c r="R371" s="582"/>
      <c r="S371" s="582"/>
      <c r="T371" s="582"/>
      <c r="U371" s="582"/>
      <c r="V371" s="582"/>
      <c r="W371" s="582"/>
      <c r="X371" s="582"/>
      <c r="Y371" s="582"/>
      <c r="Z371" s="582"/>
      <c r="AA371" s="582"/>
      <c r="AB371" s="260"/>
      <c r="AC371" s="582"/>
      <c r="AD371" s="582"/>
      <c r="AE371" s="582"/>
      <c r="AI371" s="260"/>
    </row>
    <row r="372" spans="15:35">
      <c r="O372" s="259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82"/>
      <c r="AB372" s="260"/>
      <c r="AC372" s="582"/>
      <c r="AD372" s="582"/>
      <c r="AE372" s="582"/>
      <c r="AI372" s="260"/>
    </row>
    <row r="373" spans="15:35">
      <c r="O373" s="259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82"/>
      <c r="AB373" s="260"/>
      <c r="AC373" s="582"/>
      <c r="AD373" s="582"/>
      <c r="AE373" s="582"/>
      <c r="AI373" s="260"/>
    </row>
    <row r="374" spans="15:35">
      <c r="O374" s="259"/>
      <c r="P374" s="582"/>
      <c r="Q374" s="582"/>
      <c r="R374" s="582"/>
      <c r="S374" s="582"/>
      <c r="T374" s="582"/>
      <c r="U374" s="582"/>
      <c r="V374" s="582"/>
      <c r="W374" s="582"/>
      <c r="X374" s="582"/>
      <c r="Y374" s="582"/>
      <c r="Z374" s="582"/>
      <c r="AA374" s="582"/>
      <c r="AB374" s="260"/>
      <c r="AC374" s="582"/>
      <c r="AD374" s="582"/>
      <c r="AE374" s="582"/>
      <c r="AI374" s="260"/>
    </row>
    <row r="375" spans="15:35">
      <c r="O375" s="259"/>
      <c r="P375" s="582"/>
      <c r="Q375" s="582"/>
      <c r="R375" s="582"/>
      <c r="S375" s="582"/>
      <c r="T375" s="582"/>
      <c r="U375" s="582"/>
      <c r="V375" s="582"/>
      <c r="W375" s="582"/>
      <c r="X375" s="582"/>
      <c r="Y375" s="582"/>
      <c r="Z375" s="582"/>
      <c r="AA375" s="582"/>
      <c r="AB375" s="260"/>
      <c r="AC375" s="582"/>
      <c r="AD375" s="582"/>
      <c r="AE375" s="582"/>
      <c r="AI375" s="260"/>
    </row>
    <row r="376" spans="15:35">
      <c r="O376" s="259"/>
      <c r="P376" s="582"/>
      <c r="Q376" s="582"/>
      <c r="R376" s="582"/>
      <c r="S376" s="582"/>
      <c r="T376" s="582"/>
      <c r="U376" s="582"/>
      <c r="V376" s="582"/>
      <c r="W376" s="582"/>
      <c r="X376" s="582"/>
      <c r="Y376" s="582"/>
      <c r="Z376" s="582"/>
      <c r="AA376" s="582"/>
      <c r="AB376" s="260"/>
      <c r="AC376" s="582"/>
      <c r="AD376" s="582"/>
      <c r="AE376" s="582"/>
      <c r="AI376" s="260"/>
    </row>
    <row r="377" spans="15:35">
      <c r="O377" s="259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82"/>
      <c r="AB377" s="260"/>
      <c r="AC377" s="582"/>
      <c r="AD377" s="582"/>
      <c r="AE377" s="582"/>
      <c r="AI377" s="260"/>
    </row>
    <row r="378" spans="15:35">
      <c r="O378" s="259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82"/>
      <c r="AB378" s="260"/>
      <c r="AC378" s="582"/>
      <c r="AD378" s="582"/>
      <c r="AE378" s="582"/>
      <c r="AI378" s="260"/>
    </row>
    <row r="379" spans="15:35">
      <c r="O379" s="259"/>
      <c r="P379" s="582"/>
      <c r="Q379" s="582"/>
      <c r="R379" s="582"/>
      <c r="S379" s="582"/>
      <c r="T379" s="582"/>
      <c r="U379" s="582"/>
      <c r="V379" s="582"/>
      <c r="W379" s="582"/>
      <c r="X379" s="582"/>
      <c r="Y379" s="582"/>
      <c r="Z379" s="582"/>
      <c r="AA379" s="582"/>
      <c r="AB379" s="260"/>
      <c r="AC379" s="582"/>
      <c r="AD379" s="582"/>
      <c r="AE379" s="582"/>
      <c r="AI379" s="260"/>
    </row>
    <row r="380" spans="15:35">
      <c r="O380" s="259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82"/>
      <c r="AB380" s="260"/>
      <c r="AC380" s="582"/>
      <c r="AD380" s="582"/>
      <c r="AE380" s="582"/>
      <c r="AI380" s="260"/>
    </row>
    <row r="381" spans="15:35">
      <c r="O381" s="259"/>
      <c r="P381" s="582"/>
      <c r="Q381" s="582"/>
      <c r="R381" s="582"/>
      <c r="S381" s="582"/>
      <c r="T381" s="582"/>
      <c r="U381" s="582"/>
      <c r="V381" s="582"/>
      <c r="W381" s="582"/>
      <c r="X381" s="582"/>
      <c r="Y381" s="582"/>
      <c r="Z381" s="582"/>
      <c r="AA381" s="582"/>
      <c r="AB381" s="260"/>
      <c r="AC381" s="582"/>
      <c r="AD381" s="582"/>
      <c r="AE381" s="582"/>
      <c r="AI381" s="260"/>
    </row>
    <row r="382" spans="15:35">
      <c r="O382" s="259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82"/>
      <c r="AB382" s="260"/>
      <c r="AC382" s="582"/>
      <c r="AD382" s="582"/>
      <c r="AE382" s="582"/>
      <c r="AI382" s="260"/>
    </row>
    <row r="383" spans="15:35">
      <c r="O383" s="259"/>
      <c r="P383" s="582"/>
      <c r="Q383" s="582"/>
      <c r="R383" s="582"/>
      <c r="S383" s="582"/>
      <c r="T383" s="582"/>
      <c r="U383" s="582"/>
      <c r="V383" s="582"/>
      <c r="W383" s="582"/>
      <c r="X383" s="582"/>
      <c r="Y383" s="582"/>
      <c r="Z383" s="582"/>
      <c r="AA383" s="582"/>
      <c r="AB383" s="260"/>
      <c r="AC383" s="582"/>
      <c r="AD383" s="582"/>
      <c r="AE383" s="582"/>
      <c r="AI383" s="260"/>
    </row>
    <row r="384" spans="15:35">
      <c r="O384" s="259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82"/>
      <c r="AB384" s="260"/>
      <c r="AC384" s="582"/>
      <c r="AD384" s="582"/>
      <c r="AE384" s="582"/>
      <c r="AI384" s="260"/>
    </row>
    <row r="385" spans="15:35">
      <c r="O385" s="259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82"/>
      <c r="AB385" s="260"/>
      <c r="AC385" s="582"/>
      <c r="AD385" s="582"/>
      <c r="AE385" s="582"/>
      <c r="AI385" s="260"/>
    </row>
    <row r="386" spans="15:35">
      <c r="O386" s="259"/>
      <c r="P386" s="582"/>
      <c r="Q386" s="582"/>
      <c r="R386" s="582"/>
      <c r="S386" s="582"/>
      <c r="T386" s="582"/>
      <c r="U386" s="582"/>
      <c r="V386" s="582"/>
      <c r="W386" s="582"/>
      <c r="X386" s="582"/>
      <c r="Y386" s="582"/>
      <c r="Z386" s="582"/>
      <c r="AA386" s="582"/>
      <c r="AB386" s="260"/>
      <c r="AC386" s="582"/>
      <c r="AD386" s="582"/>
      <c r="AE386" s="582"/>
      <c r="AI386" s="260"/>
    </row>
    <row r="387" spans="15:35">
      <c r="O387" s="259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82"/>
      <c r="AB387" s="260"/>
      <c r="AC387" s="582"/>
      <c r="AD387" s="582"/>
      <c r="AE387" s="582"/>
      <c r="AI387" s="260"/>
    </row>
    <row r="388" spans="15:35">
      <c r="O388" s="259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82"/>
      <c r="AB388" s="260"/>
      <c r="AC388" s="582"/>
      <c r="AD388" s="582"/>
      <c r="AE388" s="582"/>
      <c r="AI388" s="260"/>
    </row>
    <row r="389" spans="15:35">
      <c r="O389" s="259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82"/>
      <c r="AB389" s="260"/>
      <c r="AC389" s="582"/>
      <c r="AD389" s="582"/>
      <c r="AE389" s="582"/>
      <c r="AI389" s="260"/>
    </row>
    <row r="390" spans="15:35">
      <c r="O390" s="259"/>
      <c r="P390" s="582"/>
      <c r="Q390" s="582"/>
      <c r="R390" s="582"/>
      <c r="S390" s="582"/>
      <c r="T390" s="582"/>
      <c r="U390" s="582"/>
      <c r="V390" s="582"/>
      <c r="W390" s="582"/>
      <c r="X390" s="582"/>
      <c r="Y390" s="582"/>
      <c r="Z390" s="582"/>
      <c r="AA390" s="582"/>
      <c r="AB390" s="260"/>
      <c r="AC390" s="582"/>
      <c r="AD390" s="582"/>
      <c r="AE390" s="582"/>
      <c r="AI390" s="260"/>
    </row>
    <row r="391" spans="15:35">
      <c r="O391" s="259"/>
      <c r="P391" s="582"/>
      <c r="Q391" s="582"/>
      <c r="R391" s="582"/>
      <c r="S391" s="582"/>
      <c r="T391" s="582"/>
      <c r="U391" s="582"/>
      <c r="V391" s="582"/>
      <c r="W391" s="582"/>
      <c r="X391" s="582"/>
      <c r="Y391" s="582"/>
      <c r="Z391" s="582"/>
      <c r="AA391" s="582"/>
      <c r="AB391" s="260"/>
      <c r="AC391" s="582"/>
      <c r="AD391" s="582"/>
      <c r="AE391" s="582"/>
      <c r="AI391" s="260"/>
    </row>
    <row r="392" spans="15:35">
      <c r="O392" s="259"/>
      <c r="P392" s="582"/>
      <c r="Q392" s="582"/>
      <c r="R392" s="582"/>
      <c r="S392" s="582"/>
      <c r="T392" s="582"/>
      <c r="U392" s="582"/>
      <c r="V392" s="582"/>
      <c r="W392" s="582"/>
      <c r="X392" s="582"/>
      <c r="Y392" s="582"/>
      <c r="Z392" s="582"/>
      <c r="AA392" s="582"/>
      <c r="AB392" s="260"/>
      <c r="AC392" s="582"/>
      <c r="AD392" s="582"/>
      <c r="AE392" s="582"/>
      <c r="AI392" s="260"/>
    </row>
    <row r="393" spans="15:35">
      <c r="O393" s="259"/>
      <c r="P393" s="582"/>
      <c r="Q393" s="582"/>
      <c r="R393" s="582"/>
      <c r="S393" s="582"/>
      <c r="T393" s="582"/>
      <c r="U393" s="582"/>
      <c r="V393" s="582"/>
      <c r="W393" s="582"/>
      <c r="X393" s="582"/>
      <c r="Y393" s="582"/>
      <c r="Z393" s="582"/>
      <c r="AA393" s="582"/>
      <c r="AB393" s="260"/>
      <c r="AC393" s="582"/>
      <c r="AD393" s="582"/>
      <c r="AE393" s="582"/>
      <c r="AI393" s="260"/>
    </row>
    <row r="394" spans="15:35">
      <c r="O394" s="259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82"/>
      <c r="AB394" s="260"/>
      <c r="AC394" s="582"/>
      <c r="AD394" s="582"/>
      <c r="AE394" s="582"/>
      <c r="AI394" s="260"/>
    </row>
    <row r="395" spans="15:35">
      <c r="O395" s="259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82"/>
      <c r="AB395" s="260"/>
      <c r="AC395" s="582"/>
      <c r="AD395" s="582"/>
      <c r="AE395" s="582"/>
      <c r="AI395" s="260"/>
    </row>
    <row r="396" spans="15:35">
      <c r="O396" s="259"/>
      <c r="P396" s="582"/>
      <c r="Q396" s="582"/>
      <c r="R396" s="582"/>
      <c r="S396" s="582"/>
      <c r="T396" s="582"/>
      <c r="U396" s="582"/>
      <c r="V396" s="582"/>
      <c r="W396" s="582"/>
      <c r="X396" s="582"/>
      <c r="Y396" s="582"/>
      <c r="Z396" s="582"/>
      <c r="AA396" s="582"/>
      <c r="AB396" s="260"/>
      <c r="AC396" s="582"/>
      <c r="AD396" s="582"/>
      <c r="AE396" s="582"/>
      <c r="AI396" s="260"/>
    </row>
    <row r="397" spans="15:35">
      <c r="O397" s="259"/>
      <c r="P397" s="582"/>
      <c r="Q397" s="582"/>
      <c r="R397" s="582"/>
      <c r="S397" s="582"/>
      <c r="T397" s="582"/>
      <c r="U397" s="582"/>
      <c r="V397" s="582"/>
      <c r="W397" s="582"/>
      <c r="X397" s="582"/>
      <c r="Y397" s="582"/>
      <c r="Z397" s="582"/>
      <c r="AA397" s="582"/>
      <c r="AB397" s="260"/>
      <c r="AC397" s="582"/>
      <c r="AD397" s="582"/>
      <c r="AE397" s="582"/>
      <c r="AI397" s="260"/>
    </row>
    <row r="398" spans="15:35">
      <c r="O398" s="259"/>
      <c r="P398" s="582"/>
      <c r="Q398" s="582"/>
      <c r="R398" s="582"/>
      <c r="S398" s="582"/>
      <c r="T398" s="582"/>
      <c r="U398" s="582"/>
      <c r="V398" s="582"/>
      <c r="W398" s="582"/>
      <c r="X398" s="582"/>
      <c r="Y398" s="582"/>
      <c r="Z398" s="582"/>
      <c r="AA398" s="582"/>
      <c r="AB398" s="260"/>
      <c r="AC398" s="582"/>
      <c r="AD398" s="582"/>
      <c r="AE398" s="582"/>
      <c r="AI398" s="260"/>
    </row>
    <row r="399" spans="15:35">
      <c r="O399" s="259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82"/>
      <c r="AB399" s="260"/>
      <c r="AC399" s="582"/>
      <c r="AD399" s="582"/>
      <c r="AE399" s="582"/>
      <c r="AI399" s="260"/>
    </row>
    <row r="400" spans="15:35">
      <c r="O400" s="259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82"/>
      <c r="AB400" s="260"/>
      <c r="AC400" s="582"/>
      <c r="AD400" s="582"/>
      <c r="AE400" s="582"/>
      <c r="AI400" s="260"/>
    </row>
    <row r="401" spans="15:35">
      <c r="O401" s="259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82"/>
      <c r="AB401" s="260"/>
      <c r="AC401" s="582"/>
      <c r="AD401" s="582"/>
      <c r="AE401" s="582"/>
      <c r="AI401" s="260"/>
    </row>
    <row r="402" spans="15:35">
      <c r="O402" s="259"/>
      <c r="P402" s="582"/>
      <c r="Q402" s="582"/>
      <c r="R402" s="582"/>
      <c r="S402" s="582"/>
      <c r="T402" s="582"/>
      <c r="U402" s="582"/>
      <c r="V402" s="582"/>
      <c r="W402" s="582"/>
      <c r="X402" s="582"/>
      <c r="Y402" s="582"/>
      <c r="Z402" s="582"/>
      <c r="AA402" s="582"/>
      <c r="AB402" s="260"/>
      <c r="AC402" s="582"/>
      <c r="AD402" s="582"/>
      <c r="AE402" s="582"/>
      <c r="AI402" s="260"/>
    </row>
    <row r="403" spans="15:35">
      <c r="O403" s="259"/>
      <c r="P403" s="582"/>
      <c r="Q403" s="582"/>
      <c r="R403" s="582"/>
      <c r="S403" s="582"/>
      <c r="T403" s="582"/>
      <c r="U403" s="582"/>
      <c r="V403" s="582"/>
      <c r="W403" s="582"/>
      <c r="X403" s="582"/>
      <c r="Y403" s="582"/>
      <c r="Z403" s="582"/>
      <c r="AA403" s="582"/>
      <c r="AB403" s="260"/>
      <c r="AC403" s="582"/>
      <c r="AD403" s="582"/>
      <c r="AE403" s="582"/>
      <c r="AI403" s="260"/>
    </row>
    <row r="404" spans="15:35">
      <c r="O404" s="259"/>
      <c r="P404" s="582"/>
      <c r="Q404" s="582"/>
      <c r="R404" s="582"/>
      <c r="S404" s="582"/>
      <c r="T404" s="582"/>
      <c r="U404" s="582"/>
      <c r="V404" s="582"/>
      <c r="W404" s="582"/>
      <c r="X404" s="582"/>
      <c r="Y404" s="582"/>
      <c r="Z404" s="582"/>
      <c r="AA404" s="582"/>
      <c r="AB404" s="260"/>
      <c r="AC404" s="582"/>
      <c r="AD404" s="582"/>
      <c r="AE404" s="582"/>
      <c r="AI404" s="260"/>
    </row>
    <row r="405" spans="15:35">
      <c r="O405" s="259"/>
      <c r="P405" s="582"/>
      <c r="Q405" s="582"/>
      <c r="R405" s="582"/>
      <c r="S405" s="582"/>
      <c r="T405" s="582"/>
      <c r="U405" s="582"/>
      <c r="V405" s="582"/>
      <c r="W405" s="582"/>
      <c r="X405" s="582"/>
      <c r="Y405" s="582"/>
      <c r="Z405" s="582"/>
      <c r="AA405" s="582"/>
      <c r="AB405" s="260"/>
      <c r="AC405" s="582"/>
      <c r="AD405" s="582"/>
      <c r="AE405" s="582"/>
      <c r="AI405" s="260"/>
    </row>
    <row r="406" spans="15:35">
      <c r="O406" s="259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82"/>
      <c r="AB406" s="260"/>
      <c r="AC406" s="582"/>
      <c r="AD406" s="582"/>
      <c r="AE406" s="582"/>
      <c r="AI406" s="260"/>
    </row>
    <row r="407" spans="15:35">
      <c r="O407" s="259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82"/>
      <c r="AB407" s="260"/>
      <c r="AC407" s="582"/>
      <c r="AD407" s="582"/>
      <c r="AE407" s="582"/>
      <c r="AI407" s="260"/>
    </row>
    <row r="408" spans="15:35">
      <c r="O408" s="259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82"/>
      <c r="AB408" s="260"/>
      <c r="AC408" s="582"/>
      <c r="AD408" s="582"/>
      <c r="AE408" s="582"/>
      <c r="AI408" s="260"/>
    </row>
    <row r="409" spans="15:35">
      <c r="O409" s="259"/>
      <c r="P409" s="582"/>
      <c r="Q409" s="582"/>
      <c r="R409" s="582"/>
      <c r="S409" s="582"/>
      <c r="T409" s="582"/>
      <c r="U409" s="582"/>
      <c r="V409" s="582"/>
      <c r="W409" s="582"/>
      <c r="X409" s="582"/>
      <c r="Y409" s="582"/>
      <c r="Z409" s="582"/>
      <c r="AA409" s="582"/>
      <c r="AB409" s="260"/>
      <c r="AC409" s="582"/>
      <c r="AD409" s="582"/>
      <c r="AE409" s="582"/>
      <c r="AI409" s="260"/>
    </row>
    <row r="410" spans="15:35">
      <c r="O410" s="259"/>
      <c r="P410" s="582"/>
      <c r="Q410" s="582"/>
      <c r="R410" s="582"/>
      <c r="S410" s="582"/>
      <c r="T410" s="582"/>
      <c r="U410" s="582"/>
      <c r="V410" s="582"/>
      <c r="W410" s="582"/>
      <c r="X410" s="582"/>
      <c r="Y410" s="582"/>
      <c r="Z410" s="582"/>
      <c r="AA410" s="582"/>
      <c r="AB410" s="260"/>
      <c r="AC410" s="582"/>
      <c r="AD410" s="582"/>
      <c r="AE410" s="582"/>
      <c r="AI410" s="260"/>
    </row>
    <row r="411" spans="15:35">
      <c r="O411" s="259"/>
      <c r="P411" s="582"/>
      <c r="Q411" s="582"/>
      <c r="R411" s="582"/>
      <c r="S411" s="582"/>
      <c r="T411" s="582"/>
      <c r="U411" s="582"/>
      <c r="V411" s="582"/>
      <c r="W411" s="582"/>
      <c r="X411" s="582"/>
      <c r="Y411" s="582"/>
      <c r="Z411" s="582"/>
      <c r="AA411" s="582"/>
      <c r="AB411" s="260"/>
      <c r="AC411" s="582"/>
      <c r="AD411" s="582"/>
      <c r="AE411" s="582"/>
      <c r="AI411" s="260"/>
    </row>
    <row r="412" spans="15:35">
      <c r="O412" s="259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82"/>
      <c r="AB412" s="260"/>
      <c r="AC412" s="582"/>
      <c r="AD412" s="582"/>
      <c r="AE412" s="582"/>
      <c r="AI412" s="260"/>
    </row>
    <row r="413" spans="15:35">
      <c r="O413" s="259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82"/>
      <c r="AB413" s="260"/>
      <c r="AC413" s="582"/>
      <c r="AD413" s="582"/>
      <c r="AE413" s="582"/>
      <c r="AI413" s="260"/>
    </row>
    <row r="414" spans="15:35">
      <c r="O414" s="259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82"/>
      <c r="AB414" s="260"/>
      <c r="AC414" s="582"/>
      <c r="AD414" s="582"/>
      <c r="AE414" s="582"/>
      <c r="AI414" s="260"/>
    </row>
    <row r="415" spans="15:35">
      <c r="O415" s="259"/>
      <c r="P415" s="582"/>
      <c r="Q415" s="582"/>
      <c r="R415" s="582"/>
      <c r="S415" s="582"/>
      <c r="T415" s="582"/>
      <c r="U415" s="582"/>
      <c r="V415" s="582"/>
      <c r="W415" s="582"/>
      <c r="X415" s="582"/>
      <c r="Y415" s="582"/>
      <c r="Z415" s="582"/>
      <c r="AA415" s="582"/>
      <c r="AB415" s="260"/>
      <c r="AC415" s="582"/>
      <c r="AD415" s="582"/>
      <c r="AE415" s="582"/>
      <c r="AI415" s="260"/>
    </row>
    <row r="416" spans="15:35">
      <c r="O416" s="259"/>
      <c r="P416" s="582"/>
      <c r="Q416" s="582"/>
      <c r="R416" s="582"/>
      <c r="S416" s="582"/>
      <c r="T416" s="582"/>
      <c r="U416" s="582"/>
      <c r="V416" s="582"/>
      <c r="W416" s="582"/>
      <c r="X416" s="582"/>
      <c r="Y416" s="582"/>
      <c r="Z416" s="582"/>
      <c r="AA416" s="582"/>
      <c r="AB416" s="260"/>
      <c r="AC416" s="582"/>
      <c r="AD416" s="582"/>
      <c r="AE416" s="582"/>
      <c r="AI416" s="260"/>
    </row>
    <row r="417" spans="15:35">
      <c r="O417" s="259"/>
      <c r="P417" s="582"/>
      <c r="Q417" s="582"/>
      <c r="R417" s="582"/>
      <c r="S417" s="582"/>
      <c r="T417" s="582"/>
      <c r="U417" s="582"/>
      <c r="V417" s="582"/>
      <c r="W417" s="582"/>
      <c r="X417" s="582"/>
      <c r="Y417" s="582"/>
      <c r="Z417" s="582"/>
      <c r="AA417" s="582"/>
      <c r="AB417" s="260"/>
      <c r="AC417" s="582"/>
      <c r="AD417" s="582"/>
      <c r="AE417" s="582"/>
      <c r="AI417" s="260"/>
    </row>
    <row r="418" spans="15:35">
      <c r="O418" s="259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82"/>
      <c r="AB418" s="260"/>
      <c r="AC418" s="582"/>
      <c r="AD418" s="582"/>
      <c r="AE418" s="582"/>
      <c r="AI418" s="260"/>
    </row>
    <row r="419" spans="15:35">
      <c r="O419" s="259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82"/>
      <c r="AB419" s="260"/>
      <c r="AC419" s="582"/>
      <c r="AD419" s="582"/>
      <c r="AE419" s="582"/>
      <c r="AI419" s="260"/>
    </row>
    <row r="420" spans="15:35">
      <c r="O420" s="259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82"/>
      <c r="AB420" s="260"/>
      <c r="AC420" s="582"/>
      <c r="AD420" s="582"/>
      <c r="AE420" s="582"/>
      <c r="AI420" s="260"/>
    </row>
    <row r="421" spans="15:35">
      <c r="O421" s="259"/>
      <c r="P421" s="582"/>
      <c r="Q421" s="582"/>
      <c r="R421" s="582"/>
      <c r="S421" s="582"/>
      <c r="T421" s="582"/>
      <c r="U421" s="582"/>
      <c r="V421" s="582"/>
      <c r="W421" s="582"/>
      <c r="X421" s="582"/>
      <c r="Y421" s="582"/>
      <c r="Z421" s="582"/>
      <c r="AA421" s="582"/>
      <c r="AB421" s="260"/>
      <c r="AC421" s="582"/>
      <c r="AD421" s="582"/>
      <c r="AE421" s="582"/>
      <c r="AI421" s="260"/>
    </row>
    <row r="422" spans="15:35">
      <c r="O422" s="259"/>
      <c r="P422" s="582"/>
      <c r="Q422" s="582"/>
      <c r="R422" s="582"/>
      <c r="S422" s="582"/>
      <c r="T422" s="582"/>
      <c r="U422" s="582"/>
      <c r="V422" s="582"/>
      <c r="W422" s="582"/>
      <c r="X422" s="582"/>
      <c r="Y422" s="582"/>
      <c r="Z422" s="582"/>
      <c r="AA422" s="582"/>
      <c r="AB422" s="260"/>
      <c r="AC422" s="582"/>
      <c r="AD422" s="582"/>
      <c r="AE422" s="582"/>
      <c r="AI422" s="260"/>
    </row>
    <row r="423" spans="15:35">
      <c r="O423" s="259"/>
      <c r="P423" s="582"/>
      <c r="Q423" s="582"/>
      <c r="R423" s="582"/>
      <c r="S423" s="582"/>
      <c r="T423" s="582"/>
      <c r="U423" s="582"/>
      <c r="V423" s="582"/>
      <c r="W423" s="582"/>
      <c r="X423" s="582"/>
      <c r="Y423" s="582"/>
      <c r="Z423" s="582"/>
      <c r="AA423" s="582"/>
      <c r="AB423" s="260"/>
      <c r="AC423" s="582"/>
      <c r="AD423" s="582"/>
      <c r="AE423" s="582"/>
      <c r="AI423" s="260"/>
    </row>
    <row r="424" spans="15:35">
      <c r="O424" s="259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82"/>
      <c r="AB424" s="260"/>
      <c r="AC424" s="582"/>
      <c r="AD424" s="582"/>
      <c r="AE424" s="582"/>
      <c r="AI424" s="260"/>
    </row>
    <row r="425" spans="15:35">
      <c r="O425" s="259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82"/>
      <c r="AB425" s="260"/>
      <c r="AC425" s="582"/>
      <c r="AD425" s="582"/>
      <c r="AE425" s="582"/>
      <c r="AI425" s="260"/>
    </row>
    <row r="426" spans="15:35">
      <c r="O426" s="259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82"/>
      <c r="AB426" s="260"/>
      <c r="AC426" s="582"/>
      <c r="AD426" s="582"/>
      <c r="AE426" s="582"/>
      <c r="AI426" s="260"/>
    </row>
    <row r="427" spans="15:35">
      <c r="O427" s="259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82"/>
      <c r="AB427" s="260"/>
      <c r="AC427" s="582"/>
      <c r="AD427" s="582"/>
      <c r="AE427" s="582"/>
      <c r="AI427" s="260"/>
    </row>
    <row r="428" spans="15:35">
      <c r="O428" s="259"/>
      <c r="P428" s="582"/>
      <c r="Q428" s="582"/>
      <c r="R428" s="582"/>
      <c r="S428" s="582"/>
      <c r="T428" s="582"/>
      <c r="U428" s="582"/>
      <c r="V428" s="582"/>
      <c r="W428" s="582"/>
      <c r="X428" s="582"/>
      <c r="Y428" s="582"/>
      <c r="Z428" s="582"/>
      <c r="AA428" s="582"/>
      <c r="AB428" s="260"/>
      <c r="AC428" s="582"/>
      <c r="AD428" s="582"/>
      <c r="AE428" s="582"/>
      <c r="AI428" s="260"/>
    </row>
    <row r="429" spans="15:35">
      <c r="O429" s="259"/>
      <c r="P429" s="582"/>
      <c r="Q429" s="582"/>
      <c r="R429" s="582"/>
      <c r="S429" s="582"/>
      <c r="T429" s="582"/>
      <c r="U429" s="582"/>
      <c r="V429" s="582"/>
      <c r="W429" s="582"/>
      <c r="X429" s="582"/>
      <c r="Y429" s="582"/>
      <c r="Z429" s="582"/>
      <c r="AA429" s="582"/>
      <c r="AB429" s="260"/>
      <c r="AC429" s="582"/>
      <c r="AD429" s="582"/>
      <c r="AE429" s="582"/>
      <c r="AI429" s="260"/>
    </row>
    <row r="430" spans="15:35">
      <c r="O430" s="259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82"/>
      <c r="AB430" s="260"/>
      <c r="AC430" s="582"/>
      <c r="AD430" s="582"/>
      <c r="AE430" s="582"/>
      <c r="AI430" s="260"/>
    </row>
    <row r="431" spans="15:35">
      <c r="O431" s="259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82"/>
      <c r="AB431" s="260"/>
      <c r="AC431" s="582"/>
      <c r="AD431" s="582"/>
      <c r="AE431" s="582"/>
      <c r="AI431" s="260"/>
    </row>
    <row r="432" spans="15:35">
      <c r="O432" s="259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82"/>
      <c r="AB432" s="260"/>
      <c r="AC432" s="582"/>
      <c r="AD432" s="582"/>
      <c r="AE432" s="582"/>
      <c r="AI432" s="260"/>
    </row>
    <row r="433" spans="15:35">
      <c r="O433" s="259"/>
      <c r="P433" s="582"/>
      <c r="Q433" s="582"/>
      <c r="R433" s="582"/>
      <c r="S433" s="582"/>
      <c r="T433" s="582"/>
      <c r="U433" s="582"/>
      <c r="V433" s="582"/>
      <c r="W433" s="582"/>
      <c r="X433" s="582"/>
      <c r="Y433" s="582"/>
      <c r="Z433" s="582"/>
      <c r="AA433" s="582"/>
      <c r="AB433" s="260"/>
      <c r="AC433" s="582"/>
      <c r="AD433" s="582"/>
      <c r="AE433" s="582"/>
      <c r="AI433" s="260"/>
    </row>
    <row r="434" spans="15:35">
      <c r="O434" s="259"/>
      <c r="P434" s="582"/>
      <c r="Q434" s="582"/>
      <c r="R434" s="582"/>
      <c r="S434" s="582"/>
      <c r="T434" s="582"/>
      <c r="U434" s="582"/>
      <c r="V434" s="582"/>
      <c r="W434" s="582"/>
      <c r="X434" s="582"/>
      <c r="Y434" s="582"/>
      <c r="Z434" s="582"/>
      <c r="AA434" s="582"/>
      <c r="AB434" s="260"/>
      <c r="AC434" s="582"/>
      <c r="AD434" s="582"/>
      <c r="AE434" s="582"/>
      <c r="AI434" s="260"/>
    </row>
    <row r="435" spans="15:35">
      <c r="O435" s="259"/>
      <c r="P435" s="582"/>
      <c r="Q435" s="582"/>
      <c r="R435" s="582"/>
      <c r="S435" s="582"/>
      <c r="T435" s="582"/>
      <c r="U435" s="582"/>
      <c r="V435" s="582"/>
      <c r="W435" s="582"/>
      <c r="X435" s="582"/>
      <c r="Y435" s="582"/>
      <c r="Z435" s="582"/>
      <c r="AA435" s="582"/>
      <c r="AB435" s="260"/>
      <c r="AC435" s="582"/>
      <c r="AD435" s="582"/>
      <c r="AE435" s="582"/>
      <c r="AI435" s="260"/>
    </row>
    <row r="436" spans="15:35">
      <c r="O436" s="259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82"/>
      <c r="AB436" s="260"/>
      <c r="AC436" s="582"/>
      <c r="AD436" s="582"/>
      <c r="AE436" s="582"/>
      <c r="AI436" s="260"/>
    </row>
    <row r="437" spans="15:35">
      <c r="O437" s="259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82"/>
      <c r="AB437" s="260"/>
      <c r="AC437" s="582"/>
      <c r="AD437" s="582"/>
      <c r="AE437" s="582"/>
      <c r="AI437" s="260"/>
    </row>
    <row r="438" spans="15:35">
      <c r="O438" s="259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82"/>
      <c r="AB438" s="260"/>
      <c r="AC438" s="582"/>
      <c r="AD438" s="582"/>
      <c r="AE438" s="582"/>
      <c r="AI438" s="260"/>
    </row>
    <row r="439" spans="15:35">
      <c r="O439" s="259"/>
      <c r="P439" s="582"/>
      <c r="Q439" s="582"/>
      <c r="R439" s="582"/>
      <c r="S439" s="582"/>
      <c r="T439" s="582"/>
      <c r="U439" s="582"/>
      <c r="V439" s="582"/>
      <c r="W439" s="582"/>
      <c r="X439" s="582"/>
      <c r="Y439" s="582"/>
      <c r="Z439" s="582"/>
      <c r="AA439" s="582"/>
      <c r="AB439" s="260"/>
      <c r="AC439" s="582"/>
      <c r="AD439" s="582"/>
      <c r="AE439" s="582"/>
      <c r="AI439" s="260"/>
    </row>
    <row r="440" spans="15:35">
      <c r="O440" s="259"/>
      <c r="P440" s="582"/>
      <c r="Q440" s="582"/>
      <c r="R440" s="582"/>
      <c r="S440" s="582"/>
      <c r="T440" s="582"/>
      <c r="U440" s="582"/>
      <c r="V440" s="582"/>
      <c r="W440" s="582"/>
      <c r="X440" s="582"/>
      <c r="Y440" s="582"/>
      <c r="Z440" s="582"/>
      <c r="AA440" s="582"/>
      <c r="AB440" s="260"/>
      <c r="AC440" s="582"/>
      <c r="AD440" s="582"/>
      <c r="AE440" s="582"/>
      <c r="AI440" s="260"/>
    </row>
    <row r="441" spans="15:35">
      <c r="O441" s="259"/>
      <c r="P441" s="582"/>
      <c r="Q441" s="582"/>
      <c r="R441" s="582"/>
      <c r="S441" s="582"/>
      <c r="T441" s="582"/>
      <c r="U441" s="582"/>
      <c r="V441" s="582"/>
      <c r="W441" s="582"/>
      <c r="X441" s="582"/>
      <c r="Y441" s="582"/>
      <c r="Z441" s="582"/>
      <c r="AA441" s="582"/>
      <c r="AB441" s="260"/>
      <c r="AC441" s="582"/>
      <c r="AD441" s="582"/>
      <c r="AE441" s="582"/>
      <c r="AI441" s="260"/>
    </row>
    <row r="442" spans="15:35">
      <c r="O442" s="259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82"/>
      <c r="AB442" s="260"/>
      <c r="AC442" s="582"/>
      <c r="AD442" s="582"/>
      <c r="AE442" s="582"/>
      <c r="AI442" s="260"/>
    </row>
    <row r="443" spans="15:35">
      <c r="O443" s="259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82"/>
      <c r="AB443" s="260"/>
      <c r="AC443" s="582"/>
      <c r="AD443" s="582"/>
      <c r="AE443" s="582"/>
      <c r="AI443" s="260"/>
    </row>
    <row r="444" spans="15:35">
      <c r="O444" s="259"/>
      <c r="P444" s="582"/>
      <c r="Q444" s="582"/>
      <c r="R444" s="582"/>
      <c r="S444" s="582"/>
      <c r="T444" s="582"/>
      <c r="U444" s="582"/>
      <c r="V444" s="582"/>
      <c r="W444" s="582"/>
      <c r="X444" s="582"/>
      <c r="Y444" s="582"/>
      <c r="Z444" s="582"/>
      <c r="AA444" s="582"/>
      <c r="AB444" s="260"/>
      <c r="AC444" s="582"/>
      <c r="AD444" s="582"/>
      <c r="AE444" s="582"/>
      <c r="AI444" s="260"/>
    </row>
    <row r="445" spans="15:35">
      <c r="O445" s="259"/>
      <c r="P445" s="582"/>
      <c r="Q445" s="582"/>
      <c r="R445" s="582"/>
      <c r="S445" s="582"/>
      <c r="T445" s="582"/>
      <c r="U445" s="582"/>
      <c r="V445" s="582"/>
      <c r="W445" s="582"/>
      <c r="X445" s="582"/>
      <c r="Y445" s="582"/>
      <c r="Z445" s="582"/>
      <c r="AA445" s="582"/>
      <c r="AB445" s="260"/>
      <c r="AC445" s="582"/>
      <c r="AD445" s="582"/>
      <c r="AE445" s="582"/>
      <c r="AI445" s="260"/>
    </row>
    <row r="446" spans="15:35">
      <c r="O446" s="259"/>
      <c r="P446" s="582"/>
      <c r="Q446" s="582"/>
      <c r="R446" s="582"/>
      <c r="S446" s="582"/>
      <c r="T446" s="582"/>
      <c r="U446" s="582"/>
      <c r="V446" s="582"/>
      <c r="W446" s="582"/>
      <c r="X446" s="582"/>
      <c r="Y446" s="582"/>
      <c r="Z446" s="582"/>
      <c r="AA446" s="582"/>
      <c r="AB446" s="260"/>
      <c r="AC446" s="582"/>
      <c r="AD446" s="582"/>
      <c r="AE446" s="582"/>
      <c r="AI446" s="260"/>
    </row>
    <row r="447" spans="15:35">
      <c r="O447" s="259"/>
      <c r="P447" s="582"/>
      <c r="Q447" s="582"/>
      <c r="R447" s="582"/>
      <c r="S447" s="582"/>
      <c r="T447" s="582"/>
      <c r="U447" s="582"/>
      <c r="V447" s="582"/>
      <c r="W447" s="582"/>
      <c r="X447" s="582"/>
      <c r="Y447" s="582"/>
      <c r="Z447" s="582"/>
      <c r="AA447" s="582"/>
      <c r="AB447" s="260"/>
      <c r="AC447" s="582"/>
      <c r="AD447" s="582"/>
      <c r="AE447" s="582"/>
      <c r="AI447" s="260"/>
    </row>
    <row r="448" spans="15:35">
      <c r="O448" s="259"/>
      <c r="P448" s="582"/>
      <c r="Q448" s="582"/>
      <c r="R448" s="582"/>
      <c r="S448" s="582"/>
      <c r="T448" s="582"/>
      <c r="U448" s="582"/>
      <c r="V448" s="582"/>
      <c r="W448" s="582"/>
      <c r="X448" s="582"/>
      <c r="Y448" s="582"/>
      <c r="Z448" s="582"/>
      <c r="AA448" s="582"/>
      <c r="AB448" s="260"/>
      <c r="AC448" s="582"/>
      <c r="AD448" s="582"/>
      <c r="AE448" s="582"/>
      <c r="AI448" s="260"/>
    </row>
    <row r="449" spans="15:35">
      <c r="O449" s="259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82"/>
      <c r="AB449" s="260"/>
      <c r="AC449" s="582"/>
      <c r="AD449" s="582"/>
      <c r="AE449" s="582"/>
      <c r="AI449" s="260"/>
    </row>
    <row r="450" spans="15:35">
      <c r="O450" s="259"/>
      <c r="P450" s="582"/>
      <c r="Q450" s="582"/>
      <c r="R450" s="582"/>
      <c r="S450" s="582"/>
      <c r="T450" s="582"/>
      <c r="U450" s="582"/>
      <c r="V450" s="582"/>
      <c r="W450" s="582"/>
      <c r="X450" s="582"/>
      <c r="Y450" s="582"/>
      <c r="Z450" s="582"/>
      <c r="AA450" s="582"/>
      <c r="AB450" s="260"/>
      <c r="AC450" s="582"/>
      <c r="AD450" s="582"/>
      <c r="AE450" s="582"/>
      <c r="AI450" s="260"/>
    </row>
    <row r="451" spans="15:35">
      <c r="O451" s="259"/>
      <c r="P451" s="582"/>
      <c r="Q451" s="582"/>
      <c r="R451" s="582"/>
      <c r="S451" s="582"/>
      <c r="T451" s="582"/>
      <c r="U451" s="582"/>
      <c r="V451" s="582"/>
      <c r="W451" s="582"/>
      <c r="X451" s="582"/>
      <c r="Y451" s="582"/>
      <c r="Z451" s="582"/>
      <c r="AA451" s="582"/>
      <c r="AB451" s="260"/>
      <c r="AC451" s="582"/>
      <c r="AD451" s="582"/>
      <c r="AE451" s="582"/>
      <c r="AI451" s="260"/>
    </row>
    <row r="452" spans="15:35">
      <c r="O452" s="259"/>
      <c r="P452" s="582"/>
      <c r="Q452" s="582"/>
      <c r="R452" s="582"/>
      <c r="S452" s="582"/>
      <c r="T452" s="582"/>
      <c r="U452" s="582"/>
      <c r="V452" s="582"/>
      <c r="W452" s="582"/>
      <c r="X452" s="582"/>
      <c r="Y452" s="582"/>
      <c r="Z452" s="582"/>
      <c r="AA452" s="582"/>
      <c r="AB452" s="260"/>
      <c r="AC452" s="582"/>
      <c r="AD452" s="582"/>
      <c r="AE452" s="582"/>
      <c r="AI452" s="260"/>
    </row>
    <row r="453" spans="15:35">
      <c r="O453" s="259"/>
      <c r="P453" s="582"/>
      <c r="Q453" s="582"/>
      <c r="R453" s="582"/>
      <c r="S453" s="582"/>
      <c r="T453" s="582"/>
      <c r="U453" s="582"/>
      <c r="V453" s="582"/>
      <c r="W453" s="582"/>
      <c r="X453" s="582"/>
      <c r="Y453" s="582"/>
      <c r="Z453" s="582"/>
      <c r="AA453" s="582"/>
      <c r="AB453" s="260"/>
      <c r="AC453" s="582"/>
      <c r="AD453" s="582"/>
      <c r="AE453" s="582"/>
      <c r="AI453" s="260"/>
    </row>
    <row r="454" spans="15:35">
      <c r="O454" s="259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82"/>
      <c r="AB454" s="260"/>
      <c r="AC454" s="582"/>
      <c r="AD454" s="582"/>
      <c r="AE454" s="582"/>
      <c r="AI454" s="260"/>
    </row>
    <row r="455" spans="15:35">
      <c r="O455" s="259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82"/>
      <c r="AB455" s="260"/>
      <c r="AC455" s="582"/>
      <c r="AD455" s="582"/>
      <c r="AE455" s="582"/>
      <c r="AI455" s="260"/>
    </row>
    <row r="456" spans="15:35">
      <c r="O456" s="259"/>
      <c r="P456" s="582"/>
      <c r="Q456" s="582"/>
      <c r="R456" s="582"/>
      <c r="S456" s="582"/>
      <c r="T456" s="582"/>
      <c r="U456" s="582"/>
      <c r="V456" s="582"/>
      <c r="W456" s="582"/>
      <c r="X456" s="582"/>
      <c r="Y456" s="582"/>
      <c r="Z456" s="582"/>
      <c r="AA456" s="582"/>
      <c r="AB456" s="260"/>
      <c r="AC456" s="582"/>
      <c r="AD456" s="582"/>
      <c r="AE456" s="582"/>
      <c r="AI456" s="260"/>
    </row>
    <row r="457" spans="15:35">
      <c r="O457" s="259"/>
      <c r="P457" s="582"/>
      <c r="Q457" s="582"/>
      <c r="R457" s="582"/>
      <c r="S457" s="582"/>
      <c r="T457" s="582"/>
      <c r="U457" s="582"/>
      <c r="V457" s="582"/>
      <c r="W457" s="582"/>
      <c r="X457" s="582"/>
      <c r="Y457" s="582"/>
      <c r="Z457" s="582"/>
      <c r="AA457" s="582"/>
      <c r="AB457" s="260"/>
      <c r="AC457" s="582"/>
      <c r="AD457" s="582"/>
      <c r="AE457" s="582"/>
      <c r="AI457" s="260"/>
    </row>
    <row r="458" spans="15:35">
      <c r="O458" s="259"/>
      <c r="P458" s="582"/>
      <c r="Q458" s="582"/>
      <c r="R458" s="582"/>
      <c r="S458" s="582"/>
      <c r="T458" s="582"/>
      <c r="U458" s="582"/>
      <c r="V458" s="582"/>
      <c r="W458" s="582"/>
      <c r="X458" s="582"/>
      <c r="Y458" s="582"/>
      <c r="Z458" s="582"/>
      <c r="AA458" s="582"/>
      <c r="AB458" s="260"/>
      <c r="AC458" s="582"/>
      <c r="AD458" s="582"/>
      <c r="AE458" s="582"/>
      <c r="AI458" s="260"/>
    </row>
    <row r="459" spans="15:35">
      <c r="O459" s="259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82"/>
      <c r="AB459" s="260"/>
      <c r="AC459" s="582"/>
      <c r="AD459" s="582"/>
      <c r="AE459" s="582"/>
      <c r="AI459" s="260"/>
    </row>
    <row r="460" spans="15:35">
      <c r="O460" s="259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82"/>
      <c r="AB460" s="260"/>
      <c r="AC460" s="582"/>
      <c r="AD460" s="582"/>
      <c r="AE460" s="582"/>
      <c r="AI460" s="260"/>
    </row>
    <row r="461" spans="15:35">
      <c r="O461" s="259"/>
      <c r="P461" s="582"/>
      <c r="Q461" s="582"/>
      <c r="R461" s="582"/>
      <c r="S461" s="582"/>
      <c r="T461" s="582"/>
      <c r="U461" s="582"/>
      <c r="V461" s="582"/>
      <c r="W461" s="582"/>
      <c r="X461" s="582"/>
      <c r="Y461" s="582"/>
      <c r="Z461" s="582"/>
      <c r="AA461" s="582"/>
      <c r="AB461" s="260"/>
      <c r="AC461" s="582"/>
      <c r="AD461" s="582"/>
      <c r="AE461" s="582"/>
      <c r="AI461" s="260"/>
    </row>
    <row r="462" spans="15:35">
      <c r="O462" s="259"/>
      <c r="P462" s="582"/>
      <c r="Q462" s="582"/>
      <c r="R462" s="582"/>
      <c r="S462" s="582"/>
      <c r="T462" s="582"/>
      <c r="U462" s="582"/>
      <c r="V462" s="582"/>
      <c r="W462" s="582"/>
      <c r="X462" s="582"/>
      <c r="Y462" s="582"/>
      <c r="Z462" s="582"/>
      <c r="AA462" s="582"/>
      <c r="AB462" s="260"/>
      <c r="AC462" s="582"/>
      <c r="AD462" s="582"/>
      <c r="AE462" s="582"/>
      <c r="AI462" s="260"/>
    </row>
    <row r="463" spans="15:35">
      <c r="O463" s="259"/>
      <c r="P463" s="582"/>
      <c r="Q463" s="582"/>
      <c r="R463" s="582"/>
      <c r="S463" s="582"/>
      <c r="T463" s="582"/>
      <c r="U463" s="582"/>
      <c r="V463" s="582"/>
      <c r="W463" s="582"/>
      <c r="X463" s="582"/>
      <c r="Y463" s="582"/>
      <c r="Z463" s="582"/>
      <c r="AA463" s="582"/>
      <c r="AB463" s="260"/>
      <c r="AC463" s="582"/>
      <c r="AD463" s="582"/>
      <c r="AE463" s="582"/>
      <c r="AI463" s="260"/>
    </row>
    <row r="464" spans="15:35">
      <c r="O464" s="259"/>
      <c r="P464" s="582"/>
      <c r="Q464" s="582"/>
      <c r="R464" s="582"/>
      <c r="S464" s="582"/>
      <c r="T464" s="582"/>
      <c r="U464" s="582"/>
      <c r="V464" s="582"/>
      <c r="W464" s="582"/>
      <c r="X464" s="582"/>
      <c r="Y464" s="582"/>
      <c r="Z464" s="582"/>
      <c r="AA464" s="582"/>
      <c r="AB464" s="260"/>
      <c r="AC464" s="582"/>
      <c r="AD464" s="582"/>
      <c r="AE464" s="582"/>
      <c r="AI464" s="260"/>
    </row>
    <row r="465" spans="15:35">
      <c r="O465" s="259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82"/>
      <c r="AB465" s="260"/>
      <c r="AC465" s="582"/>
      <c r="AD465" s="582"/>
      <c r="AE465" s="582"/>
      <c r="AI465" s="260"/>
    </row>
    <row r="466" spans="15:35">
      <c r="O466" s="259"/>
      <c r="P466" s="582"/>
      <c r="Q466" s="582"/>
      <c r="R466" s="582"/>
      <c r="S466" s="582"/>
      <c r="T466" s="582"/>
      <c r="U466" s="582"/>
      <c r="V466" s="582"/>
      <c r="W466" s="582"/>
      <c r="X466" s="582"/>
      <c r="Y466" s="582"/>
      <c r="Z466" s="582"/>
      <c r="AA466" s="582"/>
      <c r="AB466" s="260"/>
      <c r="AC466" s="582"/>
      <c r="AD466" s="582"/>
      <c r="AE466" s="582"/>
      <c r="AI466" s="260"/>
    </row>
    <row r="467" spans="15:35">
      <c r="O467" s="259"/>
      <c r="P467" s="582"/>
      <c r="Q467" s="582"/>
      <c r="R467" s="582"/>
      <c r="S467" s="582"/>
      <c r="T467" s="582"/>
      <c r="U467" s="582"/>
      <c r="V467" s="582"/>
      <c r="W467" s="582"/>
      <c r="X467" s="582"/>
      <c r="Y467" s="582"/>
      <c r="Z467" s="582"/>
      <c r="AA467" s="582"/>
      <c r="AB467" s="260"/>
      <c r="AC467" s="582"/>
      <c r="AD467" s="582"/>
      <c r="AE467" s="582"/>
      <c r="AI467" s="260"/>
    </row>
    <row r="468" spans="15:35">
      <c r="O468" s="259"/>
      <c r="P468" s="582"/>
      <c r="Q468" s="582"/>
      <c r="R468" s="582"/>
      <c r="S468" s="582"/>
      <c r="T468" s="582"/>
      <c r="U468" s="582"/>
      <c r="V468" s="582"/>
      <c r="W468" s="582"/>
      <c r="X468" s="582"/>
      <c r="Y468" s="582"/>
      <c r="Z468" s="582"/>
      <c r="AA468" s="582"/>
      <c r="AB468" s="260"/>
      <c r="AC468" s="582"/>
      <c r="AD468" s="582"/>
      <c r="AE468" s="582"/>
      <c r="AI468" s="260"/>
    </row>
    <row r="469" spans="15:35">
      <c r="O469" s="259"/>
      <c r="P469" s="582"/>
      <c r="Q469" s="582"/>
      <c r="R469" s="582"/>
      <c r="S469" s="582"/>
      <c r="T469" s="582"/>
      <c r="U469" s="582"/>
      <c r="V469" s="582"/>
      <c r="W469" s="582"/>
      <c r="X469" s="582"/>
      <c r="Y469" s="582"/>
      <c r="Z469" s="582"/>
      <c r="AA469" s="582"/>
      <c r="AB469" s="260"/>
      <c r="AC469" s="582"/>
      <c r="AD469" s="582"/>
      <c r="AE469" s="582"/>
      <c r="AI469" s="260"/>
    </row>
    <row r="470" spans="15:35">
      <c r="O470" s="259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82"/>
      <c r="AB470" s="260"/>
      <c r="AC470" s="582"/>
      <c r="AD470" s="582"/>
      <c r="AE470" s="582"/>
      <c r="AI470" s="260"/>
    </row>
    <row r="471" spans="15:35">
      <c r="O471" s="259"/>
      <c r="P471" s="582"/>
      <c r="Q471" s="582"/>
      <c r="R471" s="582"/>
      <c r="S471" s="582"/>
      <c r="T471" s="582"/>
      <c r="U471" s="582"/>
      <c r="V471" s="582"/>
      <c r="W471" s="582"/>
      <c r="X471" s="582"/>
      <c r="Y471" s="582"/>
      <c r="Z471" s="582"/>
      <c r="AA471" s="582"/>
      <c r="AB471" s="260"/>
      <c r="AC471" s="582"/>
      <c r="AD471" s="582"/>
      <c r="AE471" s="582"/>
      <c r="AI471" s="260"/>
    </row>
    <row r="472" spans="15:35">
      <c r="O472" s="259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82"/>
      <c r="AB472" s="260"/>
      <c r="AC472" s="582"/>
      <c r="AD472" s="582"/>
      <c r="AE472" s="582"/>
      <c r="AI472" s="260"/>
    </row>
    <row r="473" spans="15:35">
      <c r="O473" s="259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82"/>
      <c r="AB473" s="260"/>
      <c r="AC473" s="582"/>
      <c r="AD473" s="582"/>
      <c r="AE473" s="582"/>
      <c r="AI473" s="260"/>
    </row>
    <row r="474" spans="15:35">
      <c r="O474" s="259"/>
      <c r="P474" s="582"/>
      <c r="Q474" s="582"/>
      <c r="R474" s="582"/>
      <c r="S474" s="582"/>
      <c r="T474" s="582"/>
      <c r="U474" s="582"/>
      <c r="V474" s="582"/>
      <c r="W474" s="582"/>
      <c r="X474" s="582"/>
      <c r="Y474" s="582"/>
      <c r="Z474" s="582"/>
      <c r="AA474" s="582"/>
      <c r="AB474" s="260"/>
      <c r="AC474" s="582"/>
      <c r="AD474" s="582"/>
      <c r="AE474" s="582"/>
      <c r="AI474" s="260"/>
    </row>
    <row r="475" spans="15:35">
      <c r="O475" s="259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82"/>
      <c r="AB475" s="260"/>
      <c r="AC475" s="582"/>
      <c r="AD475" s="582"/>
      <c r="AE475" s="582"/>
      <c r="AI475" s="260"/>
    </row>
    <row r="476" spans="15:35">
      <c r="O476" s="259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82"/>
      <c r="AB476" s="260"/>
      <c r="AC476" s="582"/>
      <c r="AD476" s="582"/>
      <c r="AE476" s="582"/>
      <c r="AI476" s="260"/>
    </row>
    <row r="477" spans="15:35">
      <c r="O477" s="259"/>
      <c r="P477" s="582"/>
      <c r="Q477" s="582"/>
      <c r="R477" s="582"/>
      <c r="S477" s="582"/>
      <c r="T477" s="582"/>
      <c r="U477" s="582"/>
      <c r="V477" s="582"/>
      <c r="W477" s="582"/>
      <c r="X477" s="582"/>
      <c r="Y477" s="582"/>
      <c r="Z477" s="582"/>
      <c r="AA477" s="582"/>
      <c r="AB477" s="260"/>
      <c r="AC477" s="582"/>
      <c r="AD477" s="582"/>
      <c r="AE477" s="582"/>
      <c r="AI477" s="260"/>
    </row>
    <row r="478" spans="15:35">
      <c r="O478" s="259"/>
      <c r="P478" s="582"/>
      <c r="Q478" s="582"/>
      <c r="R478" s="582"/>
      <c r="S478" s="582"/>
      <c r="T478" s="582"/>
      <c r="U478" s="582"/>
      <c r="V478" s="582"/>
      <c r="W478" s="582"/>
      <c r="X478" s="582"/>
      <c r="Y478" s="582"/>
      <c r="Z478" s="582"/>
      <c r="AA478" s="582"/>
      <c r="AB478" s="260"/>
      <c r="AC478" s="582"/>
      <c r="AD478" s="582"/>
      <c r="AE478" s="582"/>
      <c r="AI478" s="260"/>
    </row>
    <row r="479" spans="15:35">
      <c r="O479" s="259"/>
      <c r="P479" s="582"/>
      <c r="Q479" s="582"/>
      <c r="R479" s="582"/>
      <c r="S479" s="582"/>
      <c r="T479" s="582"/>
      <c r="U479" s="582"/>
      <c r="V479" s="582"/>
      <c r="W479" s="582"/>
      <c r="X479" s="582"/>
      <c r="Y479" s="582"/>
      <c r="Z479" s="582"/>
      <c r="AA479" s="582"/>
      <c r="AB479" s="260"/>
      <c r="AC479" s="582"/>
      <c r="AD479" s="582"/>
      <c r="AE479" s="582"/>
      <c r="AI479" s="260"/>
    </row>
    <row r="480" spans="15:35">
      <c r="O480" s="259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82"/>
      <c r="AB480" s="260"/>
      <c r="AC480" s="582"/>
      <c r="AD480" s="582"/>
      <c r="AE480" s="582"/>
      <c r="AI480" s="260"/>
    </row>
    <row r="481" spans="15:35">
      <c r="O481" s="259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82"/>
      <c r="AB481" s="260"/>
      <c r="AC481" s="582"/>
      <c r="AD481" s="582"/>
      <c r="AE481" s="582"/>
      <c r="AI481" s="260"/>
    </row>
    <row r="482" spans="15:35">
      <c r="O482" s="259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82"/>
      <c r="AB482" s="260"/>
      <c r="AC482" s="582"/>
      <c r="AD482" s="582"/>
      <c r="AE482" s="582"/>
      <c r="AI482" s="260"/>
    </row>
    <row r="483" spans="15:35">
      <c r="O483" s="259"/>
      <c r="P483" s="582"/>
      <c r="Q483" s="582"/>
      <c r="R483" s="582"/>
      <c r="S483" s="582"/>
      <c r="T483" s="582"/>
      <c r="U483" s="582"/>
      <c r="V483" s="582"/>
      <c r="W483" s="582"/>
      <c r="X483" s="582"/>
      <c r="Y483" s="582"/>
      <c r="Z483" s="582"/>
      <c r="AA483" s="582"/>
      <c r="AB483" s="260"/>
      <c r="AC483" s="582"/>
      <c r="AD483" s="582"/>
      <c r="AE483" s="582"/>
      <c r="AI483" s="260"/>
    </row>
    <row r="484" spans="15:35">
      <c r="O484" s="259"/>
      <c r="P484" s="582"/>
      <c r="Q484" s="582"/>
      <c r="R484" s="582"/>
      <c r="S484" s="582"/>
      <c r="T484" s="582"/>
      <c r="U484" s="582"/>
      <c r="V484" s="582"/>
      <c r="W484" s="582"/>
      <c r="X484" s="582"/>
      <c r="Y484" s="582"/>
      <c r="Z484" s="582"/>
      <c r="AA484" s="582"/>
      <c r="AB484" s="260"/>
      <c r="AC484" s="582"/>
      <c r="AD484" s="582"/>
      <c r="AE484" s="582"/>
      <c r="AI484" s="260"/>
    </row>
    <row r="485" spans="15:35">
      <c r="O485" s="259"/>
      <c r="P485" s="582"/>
      <c r="Q485" s="582"/>
      <c r="R485" s="582"/>
      <c r="S485" s="582"/>
      <c r="T485" s="582"/>
      <c r="U485" s="582"/>
      <c r="V485" s="582"/>
      <c r="W485" s="582"/>
      <c r="X485" s="582"/>
      <c r="Y485" s="582"/>
      <c r="Z485" s="582"/>
      <c r="AA485" s="582"/>
      <c r="AB485" s="260"/>
      <c r="AC485" s="582"/>
      <c r="AD485" s="582"/>
      <c r="AE485" s="582"/>
      <c r="AI485" s="260"/>
    </row>
    <row r="486" spans="15:35">
      <c r="O486" s="259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82"/>
      <c r="AB486" s="260"/>
      <c r="AC486" s="582"/>
      <c r="AD486" s="582"/>
      <c r="AE486" s="582"/>
      <c r="AI486" s="260"/>
    </row>
    <row r="487" spans="15:35">
      <c r="O487" s="259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82"/>
      <c r="AB487" s="260"/>
      <c r="AC487" s="582"/>
      <c r="AD487" s="582"/>
      <c r="AE487" s="582"/>
      <c r="AI487" s="260"/>
    </row>
    <row r="488" spans="15:35">
      <c r="O488" s="259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82"/>
      <c r="AB488" s="260"/>
      <c r="AC488" s="582"/>
      <c r="AD488" s="582"/>
      <c r="AE488" s="582"/>
      <c r="AI488" s="260"/>
    </row>
    <row r="489" spans="15:35">
      <c r="O489" s="259"/>
      <c r="P489" s="582"/>
      <c r="Q489" s="582"/>
      <c r="R489" s="582"/>
      <c r="S489" s="582"/>
      <c r="T489" s="582"/>
      <c r="U489" s="582"/>
      <c r="V489" s="582"/>
      <c r="W489" s="582"/>
      <c r="X489" s="582"/>
      <c r="Y489" s="582"/>
      <c r="Z489" s="582"/>
      <c r="AA489" s="582"/>
      <c r="AB489" s="260"/>
      <c r="AC489" s="582"/>
      <c r="AD489" s="582"/>
      <c r="AE489" s="582"/>
      <c r="AI489" s="260"/>
    </row>
    <row r="490" spans="15:35">
      <c r="O490" s="259"/>
      <c r="P490" s="582"/>
      <c r="Q490" s="582"/>
      <c r="R490" s="582"/>
      <c r="S490" s="582"/>
      <c r="T490" s="582"/>
      <c r="U490" s="582"/>
      <c r="V490" s="582"/>
      <c r="W490" s="582"/>
      <c r="X490" s="582"/>
      <c r="Y490" s="582"/>
      <c r="Z490" s="582"/>
      <c r="AA490" s="582"/>
      <c r="AB490" s="260"/>
      <c r="AC490" s="582"/>
      <c r="AD490" s="582"/>
      <c r="AE490" s="582"/>
      <c r="AI490" s="260"/>
    </row>
    <row r="491" spans="15:35">
      <c r="O491" s="259"/>
      <c r="P491" s="582"/>
      <c r="Q491" s="582"/>
      <c r="R491" s="582"/>
      <c r="S491" s="582"/>
      <c r="T491" s="582"/>
      <c r="U491" s="582"/>
      <c r="V491" s="582"/>
      <c r="W491" s="582"/>
      <c r="X491" s="582"/>
      <c r="Y491" s="582"/>
      <c r="Z491" s="582"/>
      <c r="AA491" s="582"/>
      <c r="AB491" s="260"/>
      <c r="AC491" s="582"/>
      <c r="AD491" s="582"/>
      <c r="AE491" s="582"/>
      <c r="AI491" s="260"/>
    </row>
    <row r="492" spans="15:35">
      <c r="O492" s="259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82"/>
      <c r="AB492" s="260"/>
      <c r="AC492" s="582"/>
      <c r="AD492" s="582"/>
      <c r="AE492" s="582"/>
      <c r="AI492" s="260"/>
    </row>
    <row r="493" spans="15:35">
      <c r="O493" s="259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82"/>
      <c r="AB493" s="260"/>
      <c r="AC493" s="582"/>
      <c r="AD493" s="582"/>
      <c r="AE493" s="582"/>
      <c r="AI493" s="260"/>
    </row>
    <row r="494" spans="15:35">
      <c r="O494" s="259"/>
      <c r="P494" s="582"/>
      <c r="Q494" s="582"/>
      <c r="R494" s="582"/>
      <c r="S494" s="582"/>
      <c r="T494" s="582"/>
      <c r="U494" s="582"/>
      <c r="V494" s="582"/>
      <c r="W494" s="582"/>
      <c r="X494" s="582"/>
      <c r="Y494" s="582"/>
      <c r="Z494" s="582"/>
      <c r="AA494" s="582"/>
      <c r="AB494" s="260"/>
      <c r="AC494" s="582"/>
      <c r="AD494" s="582"/>
      <c r="AE494" s="582"/>
      <c r="AI494" s="260"/>
    </row>
    <row r="495" spans="15:35">
      <c r="O495" s="259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82"/>
      <c r="AB495" s="260"/>
      <c r="AC495" s="582"/>
      <c r="AD495" s="582"/>
      <c r="AE495" s="582"/>
      <c r="AI495" s="260"/>
    </row>
    <row r="496" spans="15:35">
      <c r="O496" s="259"/>
      <c r="P496" s="582"/>
      <c r="Q496" s="582"/>
      <c r="R496" s="582"/>
      <c r="S496" s="582"/>
      <c r="T496" s="582"/>
      <c r="U496" s="582"/>
      <c r="V496" s="582"/>
      <c r="W496" s="582"/>
      <c r="X496" s="582"/>
      <c r="Y496" s="582"/>
      <c r="Z496" s="582"/>
      <c r="AA496" s="582"/>
      <c r="AB496" s="260"/>
      <c r="AC496" s="582"/>
      <c r="AD496" s="582"/>
      <c r="AE496" s="582"/>
      <c r="AI496" s="260"/>
    </row>
    <row r="497" spans="15:35">
      <c r="O497" s="259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82"/>
      <c r="AB497" s="260"/>
      <c r="AC497" s="582"/>
      <c r="AD497" s="582"/>
      <c r="AE497" s="582"/>
      <c r="AI497" s="260"/>
    </row>
    <row r="498" spans="15:35">
      <c r="O498" s="259"/>
      <c r="P498" s="582"/>
      <c r="Q498" s="582"/>
      <c r="R498" s="582"/>
      <c r="S498" s="582"/>
      <c r="T498" s="582"/>
      <c r="U498" s="582"/>
      <c r="V498" s="582"/>
      <c r="W498" s="582"/>
      <c r="X498" s="582"/>
      <c r="Y498" s="582"/>
      <c r="Z498" s="582"/>
      <c r="AA498" s="582"/>
      <c r="AB498" s="260"/>
      <c r="AC498" s="582"/>
      <c r="AD498" s="582"/>
      <c r="AE498" s="582"/>
      <c r="AI498" s="260"/>
    </row>
    <row r="499" spans="15:35">
      <c r="O499" s="259"/>
      <c r="P499" s="582"/>
      <c r="Q499" s="582"/>
      <c r="R499" s="582"/>
      <c r="S499" s="582"/>
      <c r="T499" s="582"/>
      <c r="U499" s="582"/>
      <c r="V499" s="582"/>
      <c r="W499" s="582"/>
      <c r="X499" s="582"/>
      <c r="Y499" s="582"/>
      <c r="Z499" s="582"/>
      <c r="AA499" s="582"/>
      <c r="AB499" s="260"/>
      <c r="AC499" s="582"/>
      <c r="AD499" s="582"/>
      <c r="AE499" s="582"/>
      <c r="AI499" s="260"/>
    </row>
    <row r="500" spans="15:35">
      <c r="O500" s="259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82"/>
      <c r="AB500" s="260"/>
      <c r="AC500" s="582"/>
      <c r="AD500" s="582"/>
      <c r="AE500" s="582"/>
      <c r="AI500" s="260"/>
    </row>
    <row r="501" spans="15:35">
      <c r="O501" s="259"/>
      <c r="P501" s="582"/>
      <c r="Q501" s="582"/>
      <c r="R501" s="582"/>
      <c r="S501" s="582"/>
      <c r="T501" s="582"/>
      <c r="U501" s="582"/>
      <c r="V501" s="582"/>
      <c r="W501" s="582"/>
      <c r="X501" s="582"/>
      <c r="Y501" s="582"/>
      <c r="Z501" s="582"/>
      <c r="AA501" s="582"/>
      <c r="AB501" s="260"/>
      <c r="AC501" s="582"/>
      <c r="AD501" s="582"/>
      <c r="AE501" s="582"/>
      <c r="AI501" s="260"/>
    </row>
    <row r="502" spans="15:35">
      <c r="O502" s="259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82"/>
      <c r="AB502" s="260"/>
      <c r="AC502" s="582"/>
      <c r="AD502" s="582"/>
      <c r="AE502" s="582"/>
      <c r="AI502" s="260"/>
    </row>
    <row r="503" spans="15:35">
      <c r="O503" s="259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82"/>
      <c r="AB503" s="260"/>
      <c r="AC503" s="582"/>
      <c r="AD503" s="582"/>
      <c r="AE503" s="582"/>
      <c r="AI503" s="260"/>
    </row>
    <row r="504" spans="15:35">
      <c r="O504" s="259"/>
      <c r="P504" s="582"/>
      <c r="Q504" s="582"/>
      <c r="R504" s="582"/>
      <c r="S504" s="582"/>
      <c r="T504" s="582"/>
      <c r="U504" s="582"/>
      <c r="V504" s="582"/>
      <c r="W504" s="582"/>
      <c r="X504" s="582"/>
      <c r="Y504" s="582"/>
      <c r="Z504" s="582"/>
      <c r="AA504" s="582"/>
      <c r="AB504" s="260"/>
      <c r="AC504" s="582"/>
      <c r="AD504" s="582"/>
      <c r="AE504" s="582"/>
      <c r="AI504" s="260"/>
    </row>
    <row r="505" spans="15:35">
      <c r="O505" s="259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82"/>
      <c r="AB505" s="260"/>
      <c r="AC505" s="582"/>
      <c r="AD505" s="582"/>
      <c r="AE505" s="582"/>
      <c r="AI505" s="260"/>
    </row>
    <row r="506" spans="15:35">
      <c r="O506" s="259"/>
      <c r="P506" s="582"/>
      <c r="Q506" s="582"/>
      <c r="R506" s="582"/>
      <c r="S506" s="582"/>
      <c r="T506" s="582"/>
      <c r="U506" s="582"/>
      <c r="V506" s="582"/>
      <c r="W506" s="582"/>
      <c r="X506" s="582"/>
      <c r="Y506" s="582"/>
      <c r="Z506" s="582"/>
      <c r="AA506" s="582"/>
      <c r="AB506" s="260"/>
      <c r="AC506" s="582"/>
      <c r="AD506" s="582"/>
      <c r="AE506" s="582"/>
      <c r="AI506" s="260"/>
    </row>
    <row r="507" spans="15:35">
      <c r="O507" s="259"/>
      <c r="P507" s="582"/>
      <c r="Q507" s="582"/>
      <c r="R507" s="582"/>
      <c r="S507" s="582"/>
      <c r="T507" s="582"/>
      <c r="U507" s="582"/>
      <c r="V507" s="582"/>
      <c r="W507" s="582"/>
      <c r="X507" s="582"/>
      <c r="Y507" s="582"/>
      <c r="Z507" s="582"/>
      <c r="AA507" s="582"/>
      <c r="AB507" s="260"/>
      <c r="AC507" s="582"/>
      <c r="AD507" s="582"/>
      <c r="AE507" s="582"/>
      <c r="AI507" s="260"/>
    </row>
    <row r="508" spans="15:35">
      <c r="O508" s="259"/>
      <c r="P508" s="582"/>
      <c r="Q508" s="582"/>
      <c r="R508" s="582"/>
      <c r="S508" s="582"/>
      <c r="T508" s="582"/>
      <c r="U508" s="582"/>
      <c r="V508" s="582"/>
      <c r="W508" s="582"/>
      <c r="X508" s="582"/>
      <c r="Y508" s="582"/>
      <c r="Z508" s="582"/>
      <c r="AA508" s="582"/>
      <c r="AB508" s="260"/>
      <c r="AC508" s="582"/>
      <c r="AD508" s="582"/>
      <c r="AE508" s="582"/>
      <c r="AI508" s="260"/>
    </row>
    <row r="509" spans="15:35">
      <c r="O509" s="259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260"/>
      <c r="AC509" s="582"/>
      <c r="AD509" s="582"/>
      <c r="AE509" s="582"/>
      <c r="AI509" s="260"/>
    </row>
    <row r="510" spans="15:35">
      <c r="O510" s="259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82"/>
      <c r="AB510" s="260"/>
      <c r="AC510" s="582"/>
      <c r="AD510" s="582"/>
      <c r="AE510" s="582"/>
      <c r="AI510" s="260"/>
    </row>
    <row r="511" spans="15:35">
      <c r="O511" s="259"/>
      <c r="P511" s="582"/>
      <c r="Q511" s="582"/>
      <c r="R511" s="582"/>
      <c r="S511" s="582"/>
      <c r="T511" s="582"/>
      <c r="U511" s="582"/>
      <c r="V511" s="582"/>
      <c r="W511" s="582"/>
      <c r="X511" s="582"/>
      <c r="Y511" s="582"/>
      <c r="Z511" s="582"/>
      <c r="AA511" s="582"/>
      <c r="AB511" s="260"/>
      <c r="AC511" s="582"/>
      <c r="AD511" s="582"/>
      <c r="AE511" s="582"/>
      <c r="AI511" s="260"/>
    </row>
    <row r="512" spans="15:35">
      <c r="O512" s="259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82"/>
      <c r="AB512" s="260"/>
      <c r="AC512" s="582"/>
      <c r="AD512" s="582"/>
      <c r="AE512" s="582"/>
      <c r="AI512" s="260"/>
    </row>
    <row r="513" spans="15:35">
      <c r="O513" s="259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82"/>
      <c r="AB513" s="260"/>
      <c r="AC513" s="582"/>
      <c r="AD513" s="582"/>
      <c r="AE513" s="582"/>
      <c r="AI513" s="260"/>
    </row>
    <row r="514" spans="15:35">
      <c r="O514" s="259"/>
      <c r="P514" s="582"/>
      <c r="Q514" s="582"/>
      <c r="R514" s="582"/>
      <c r="S514" s="582"/>
      <c r="T514" s="582"/>
      <c r="U514" s="582"/>
      <c r="V514" s="582"/>
      <c r="W514" s="582"/>
      <c r="X514" s="582"/>
      <c r="Y514" s="582"/>
      <c r="Z514" s="582"/>
      <c r="AA514" s="582"/>
      <c r="AB514" s="260"/>
      <c r="AC514" s="582"/>
      <c r="AD514" s="582"/>
      <c r="AE514" s="582"/>
      <c r="AI514" s="260"/>
    </row>
    <row r="515" spans="15:35">
      <c r="O515" s="259"/>
      <c r="P515" s="582"/>
      <c r="Q515" s="582"/>
      <c r="R515" s="582"/>
      <c r="S515" s="582"/>
      <c r="T515" s="582"/>
      <c r="U515" s="582"/>
      <c r="V515" s="582"/>
      <c r="W515" s="582"/>
      <c r="X515" s="582"/>
      <c r="Y515" s="582"/>
      <c r="Z515" s="582"/>
      <c r="AA515" s="582"/>
      <c r="AB515" s="260"/>
      <c r="AC515" s="582"/>
      <c r="AD515" s="582"/>
      <c r="AE515" s="582"/>
      <c r="AI515" s="260"/>
    </row>
    <row r="516" spans="15:35">
      <c r="O516" s="259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260"/>
      <c r="AC516" s="582"/>
      <c r="AD516" s="582"/>
      <c r="AE516" s="582"/>
      <c r="AI516" s="260"/>
    </row>
    <row r="517" spans="15:35">
      <c r="O517" s="259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82"/>
      <c r="AB517" s="260"/>
      <c r="AC517" s="582"/>
      <c r="AD517" s="582"/>
      <c r="AE517" s="582"/>
      <c r="AI517" s="260"/>
    </row>
    <row r="518" spans="15:35">
      <c r="O518" s="259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82"/>
      <c r="AB518" s="260"/>
      <c r="AC518" s="582"/>
      <c r="AD518" s="582"/>
      <c r="AE518" s="582"/>
      <c r="AI518" s="260"/>
    </row>
    <row r="519" spans="15:35">
      <c r="O519" s="259"/>
      <c r="P519" s="582"/>
      <c r="Q519" s="582"/>
      <c r="R519" s="582"/>
      <c r="S519" s="582"/>
      <c r="T519" s="582"/>
      <c r="U519" s="582"/>
      <c r="V519" s="582"/>
      <c r="W519" s="582"/>
      <c r="X519" s="582"/>
      <c r="Y519" s="582"/>
      <c r="Z519" s="582"/>
      <c r="AA519" s="582"/>
      <c r="AB519" s="260"/>
      <c r="AC519" s="582"/>
      <c r="AD519" s="582"/>
      <c r="AE519" s="582"/>
      <c r="AI519" s="260"/>
    </row>
    <row r="520" spans="15:35">
      <c r="O520" s="259"/>
      <c r="P520" s="582"/>
      <c r="Q520" s="582"/>
      <c r="R520" s="582"/>
      <c r="S520" s="582"/>
      <c r="T520" s="582"/>
      <c r="U520" s="582"/>
      <c r="V520" s="582"/>
      <c r="W520" s="582"/>
      <c r="X520" s="582"/>
      <c r="Y520" s="582"/>
      <c r="Z520" s="582"/>
      <c r="AA520" s="582"/>
      <c r="AB520" s="260"/>
      <c r="AC520" s="582"/>
      <c r="AD520" s="582"/>
      <c r="AE520" s="582"/>
      <c r="AI520" s="260"/>
    </row>
    <row r="521" spans="15:35">
      <c r="O521" s="259"/>
      <c r="P521" s="582"/>
      <c r="Q521" s="582"/>
      <c r="R521" s="582"/>
      <c r="S521" s="582"/>
      <c r="T521" s="582"/>
      <c r="U521" s="582"/>
      <c r="V521" s="582"/>
      <c r="W521" s="582"/>
      <c r="X521" s="582"/>
      <c r="Y521" s="582"/>
      <c r="Z521" s="582"/>
      <c r="AA521" s="582"/>
      <c r="AB521" s="260"/>
      <c r="AC521" s="582"/>
      <c r="AD521" s="582"/>
      <c r="AE521" s="582"/>
      <c r="AI521" s="260"/>
    </row>
    <row r="522" spans="15:35">
      <c r="O522" s="259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82"/>
      <c r="AA522" s="582"/>
      <c r="AB522" s="260"/>
      <c r="AC522" s="582"/>
      <c r="AD522" s="582"/>
      <c r="AE522" s="582"/>
      <c r="AI522" s="260"/>
    </row>
    <row r="523" spans="15:35">
      <c r="O523" s="259"/>
      <c r="P523" s="582"/>
      <c r="Q523" s="582"/>
      <c r="R523" s="582"/>
      <c r="S523" s="582"/>
      <c r="T523" s="582"/>
      <c r="U523" s="582"/>
      <c r="V523" s="582"/>
      <c r="W523" s="582"/>
      <c r="X523" s="582"/>
      <c r="Y523" s="582"/>
      <c r="Z523" s="582"/>
      <c r="AA523" s="582"/>
      <c r="AB523" s="260"/>
      <c r="AC523" s="582"/>
      <c r="AD523" s="582"/>
      <c r="AE523" s="582"/>
      <c r="AI523" s="260"/>
    </row>
    <row r="524" spans="15:35">
      <c r="O524" s="259"/>
      <c r="P524" s="582"/>
      <c r="Q524" s="582"/>
      <c r="R524" s="582"/>
      <c r="S524" s="582"/>
      <c r="T524" s="582"/>
      <c r="U524" s="582"/>
      <c r="V524" s="582"/>
      <c r="W524" s="582"/>
      <c r="X524" s="582"/>
      <c r="Y524" s="582"/>
      <c r="Z524" s="582"/>
      <c r="AA524" s="582"/>
      <c r="AB524" s="260"/>
      <c r="AC524" s="582"/>
      <c r="AD524" s="582"/>
      <c r="AE524" s="582"/>
      <c r="AI524" s="260"/>
    </row>
    <row r="525" spans="15:35">
      <c r="O525" s="259"/>
      <c r="P525" s="582"/>
      <c r="Q525" s="582"/>
      <c r="R525" s="582"/>
      <c r="S525" s="582"/>
      <c r="T525" s="582"/>
      <c r="U525" s="582"/>
      <c r="V525" s="582"/>
      <c r="W525" s="582"/>
      <c r="X525" s="582"/>
      <c r="Y525" s="582"/>
      <c r="Z525" s="582"/>
      <c r="AA525" s="582"/>
      <c r="AB525" s="260"/>
      <c r="AC525" s="582"/>
      <c r="AD525" s="582"/>
      <c r="AE525" s="582"/>
      <c r="AI525" s="260"/>
    </row>
    <row r="526" spans="15:35">
      <c r="O526" s="259"/>
      <c r="P526" s="582"/>
      <c r="Q526" s="582"/>
      <c r="R526" s="582"/>
      <c r="S526" s="582"/>
      <c r="T526" s="582"/>
      <c r="U526" s="582"/>
      <c r="V526" s="582"/>
      <c r="W526" s="582"/>
      <c r="X526" s="582"/>
      <c r="Y526" s="582"/>
      <c r="Z526" s="582"/>
      <c r="AA526" s="582"/>
      <c r="AB526" s="260"/>
      <c r="AC526" s="582"/>
      <c r="AD526" s="582"/>
      <c r="AE526" s="582"/>
      <c r="AI526" s="260"/>
    </row>
    <row r="527" spans="15:35">
      <c r="O527" s="259"/>
      <c r="P527" s="582"/>
      <c r="Q527" s="582"/>
      <c r="R527" s="582"/>
      <c r="S527" s="582"/>
      <c r="T527" s="582"/>
      <c r="U527" s="582"/>
      <c r="V527" s="582"/>
      <c r="W527" s="582"/>
      <c r="X527" s="582"/>
      <c r="Y527" s="582"/>
      <c r="Z527" s="582"/>
      <c r="AA527" s="582"/>
      <c r="AB527" s="260"/>
      <c r="AC527" s="582"/>
      <c r="AD527" s="582"/>
      <c r="AE527" s="582"/>
      <c r="AI527" s="260"/>
    </row>
    <row r="528" spans="15:35">
      <c r="O528" s="259"/>
      <c r="P528" s="582"/>
      <c r="Q528" s="582"/>
      <c r="R528" s="582"/>
      <c r="S528" s="582"/>
      <c r="T528" s="582"/>
      <c r="U528" s="582"/>
      <c r="V528" s="582"/>
      <c r="W528" s="582"/>
      <c r="X528" s="582"/>
      <c r="Y528" s="582"/>
      <c r="Z528" s="582"/>
      <c r="AA528" s="582"/>
      <c r="AB528" s="260"/>
      <c r="AC528" s="582"/>
      <c r="AD528" s="582"/>
      <c r="AE528" s="582"/>
      <c r="AI528" s="260"/>
    </row>
    <row r="529" spans="15:35">
      <c r="O529" s="259"/>
      <c r="P529" s="582"/>
      <c r="Q529" s="582"/>
      <c r="R529" s="582"/>
      <c r="S529" s="582"/>
      <c r="T529" s="582"/>
      <c r="U529" s="582"/>
      <c r="V529" s="582"/>
      <c r="W529" s="582"/>
      <c r="X529" s="582"/>
      <c r="Y529" s="582"/>
      <c r="Z529" s="582"/>
      <c r="AA529" s="582"/>
      <c r="AB529" s="260"/>
      <c r="AC529" s="582"/>
      <c r="AD529" s="582"/>
      <c r="AE529" s="582"/>
      <c r="AI529" s="260"/>
    </row>
    <row r="530" spans="15:35">
      <c r="O530" s="259"/>
      <c r="P530" s="582"/>
      <c r="Q530" s="582"/>
      <c r="R530" s="582"/>
      <c r="S530" s="582"/>
      <c r="T530" s="582"/>
      <c r="U530" s="582"/>
      <c r="V530" s="582"/>
      <c r="W530" s="582"/>
      <c r="X530" s="582"/>
      <c r="Y530" s="582"/>
      <c r="Z530" s="582"/>
      <c r="AA530" s="582"/>
      <c r="AB530" s="260"/>
      <c r="AC530" s="582"/>
      <c r="AD530" s="582"/>
      <c r="AE530" s="582"/>
      <c r="AI530" s="260"/>
    </row>
    <row r="531" spans="15:35">
      <c r="O531" s="259"/>
      <c r="P531" s="582"/>
      <c r="Q531" s="582"/>
      <c r="R531" s="582"/>
      <c r="S531" s="582"/>
      <c r="T531" s="582"/>
      <c r="U531" s="582"/>
      <c r="V531" s="582"/>
      <c r="W531" s="582"/>
      <c r="X531" s="582"/>
      <c r="Y531" s="582"/>
      <c r="Z531" s="582"/>
      <c r="AA531" s="582"/>
      <c r="AB531" s="260"/>
      <c r="AC531" s="582"/>
      <c r="AD531" s="582"/>
      <c r="AE531" s="582"/>
      <c r="AI531" s="260"/>
    </row>
    <row r="532" spans="15:35">
      <c r="O532" s="259"/>
      <c r="P532" s="582"/>
      <c r="Q532" s="582"/>
      <c r="R532" s="582"/>
      <c r="S532" s="582"/>
      <c r="T532" s="582"/>
      <c r="U532" s="582"/>
      <c r="V532" s="582"/>
      <c r="W532" s="582"/>
      <c r="X532" s="582"/>
      <c r="Y532" s="582"/>
      <c r="Z532" s="582"/>
      <c r="AA532" s="582"/>
      <c r="AB532" s="260"/>
      <c r="AC532" s="582"/>
      <c r="AD532" s="582"/>
      <c r="AE532" s="582"/>
      <c r="AI532" s="260"/>
    </row>
    <row r="533" spans="15:35">
      <c r="O533" s="259"/>
      <c r="P533" s="582"/>
      <c r="Q533" s="582"/>
      <c r="R533" s="582"/>
      <c r="S533" s="582"/>
      <c r="T533" s="582"/>
      <c r="U533" s="582"/>
      <c r="V533" s="582"/>
      <c r="W533" s="582"/>
      <c r="X533" s="582"/>
      <c r="Y533" s="582"/>
      <c r="Z533" s="582"/>
      <c r="AA533" s="582"/>
      <c r="AB533" s="260"/>
      <c r="AC533" s="582"/>
      <c r="AD533" s="582"/>
      <c r="AE533" s="582"/>
      <c r="AI533" s="260"/>
    </row>
    <row r="534" spans="15:35">
      <c r="O534" s="259"/>
      <c r="P534" s="582"/>
      <c r="Q534" s="582"/>
      <c r="R534" s="582"/>
      <c r="S534" s="582"/>
      <c r="T534" s="582"/>
      <c r="U534" s="582"/>
      <c r="V534" s="582"/>
      <c r="W534" s="582"/>
      <c r="X534" s="582"/>
      <c r="Y534" s="582"/>
      <c r="Z534" s="582"/>
      <c r="AA534" s="582"/>
      <c r="AB534" s="260"/>
      <c r="AC534" s="582"/>
      <c r="AD534" s="582"/>
      <c r="AE534" s="582"/>
      <c r="AI534" s="260"/>
    </row>
    <row r="535" spans="15:35">
      <c r="O535" s="259"/>
      <c r="P535" s="582"/>
      <c r="Q535" s="582"/>
      <c r="R535" s="582"/>
      <c r="S535" s="582"/>
      <c r="T535" s="582"/>
      <c r="U535" s="582"/>
      <c r="V535" s="582"/>
      <c r="W535" s="582"/>
      <c r="X535" s="582"/>
      <c r="Y535" s="582"/>
      <c r="Z535" s="582"/>
      <c r="AA535" s="582"/>
      <c r="AB535" s="260"/>
      <c r="AC535" s="582"/>
      <c r="AD535" s="582"/>
      <c r="AE535" s="582"/>
      <c r="AI535" s="260"/>
    </row>
    <row r="536" spans="15:35">
      <c r="O536" s="259"/>
      <c r="P536" s="582"/>
      <c r="Q536" s="582"/>
      <c r="R536" s="582"/>
      <c r="S536" s="582"/>
      <c r="T536" s="582"/>
      <c r="U536" s="582"/>
      <c r="V536" s="582"/>
      <c r="W536" s="582"/>
      <c r="X536" s="582"/>
      <c r="Y536" s="582"/>
      <c r="Z536" s="582"/>
      <c r="AA536" s="582"/>
      <c r="AB536" s="260"/>
      <c r="AC536" s="582"/>
      <c r="AD536" s="582"/>
      <c r="AE536" s="582"/>
      <c r="AI536" s="260"/>
    </row>
    <row r="537" spans="15:35">
      <c r="O537" s="259"/>
      <c r="P537" s="582"/>
      <c r="Q537" s="582"/>
      <c r="R537" s="582"/>
      <c r="S537" s="582"/>
      <c r="T537" s="582"/>
      <c r="U537" s="582"/>
      <c r="V537" s="582"/>
      <c r="W537" s="582"/>
      <c r="X537" s="582"/>
      <c r="Y537" s="582"/>
      <c r="Z537" s="582"/>
      <c r="AA537" s="582"/>
      <c r="AB537" s="260"/>
      <c r="AC537" s="582"/>
      <c r="AD537" s="582"/>
      <c r="AE537" s="582"/>
      <c r="AI537" s="260"/>
    </row>
    <row r="538" spans="15:35">
      <c r="O538" s="259"/>
      <c r="P538" s="582"/>
      <c r="Q538" s="582"/>
      <c r="R538" s="582"/>
      <c r="S538" s="582"/>
      <c r="T538" s="582"/>
      <c r="U538" s="582"/>
      <c r="V538" s="582"/>
      <c r="W538" s="582"/>
      <c r="X538" s="582"/>
      <c r="Y538" s="582"/>
      <c r="Z538" s="582"/>
      <c r="AA538" s="582"/>
      <c r="AB538" s="260"/>
      <c r="AC538" s="582"/>
      <c r="AD538" s="582"/>
      <c r="AE538" s="582"/>
      <c r="AI538" s="260"/>
    </row>
    <row r="539" spans="15:35">
      <c r="O539" s="259"/>
      <c r="P539" s="582"/>
      <c r="Q539" s="582"/>
      <c r="R539" s="582"/>
      <c r="S539" s="582"/>
      <c r="T539" s="582"/>
      <c r="U539" s="582"/>
      <c r="V539" s="582"/>
      <c r="W539" s="582"/>
      <c r="X539" s="582"/>
      <c r="Y539" s="582"/>
      <c r="Z539" s="582"/>
      <c r="AA539" s="582"/>
      <c r="AB539" s="260"/>
      <c r="AC539" s="582"/>
      <c r="AD539" s="582"/>
      <c r="AE539" s="582"/>
      <c r="AI539" s="260"/>
    </row>
    <row r="540" spans="15:35">
      <c r="O540" s="259"/>
      <c r="P540" s="582"/>
      <c r="Q540" s="582"/>
      <c r="R540" s="582"/>
      <c r="S540" s="582"/>
      <c r="T540" s="582"/>
      <c r="U540" s="582"/>
      <c r="V540" s="582"/>
      <c r="W540" s="582"/>
      <c r="X540" s="582"/>
      <c r="Y540" s="582"/>
      <c r="Z540" s="582"/>
      <c r="AA540" s="582"/>
      <c r="AB540" s="260"/>
      <c r="AC540" s="582"/>
      <c r="AD540" s="582"/>
      <c r="AE540" s="582"/>
      <c r="AI540" s="260"/>
    </row>
    <row r="541" spans="15:35">
      <c r="O541" s="259"/>
      <c r="P541" s="582"/>
      <c r="Q541" s="582"/>
      <c r="R541" s="582"/>
      <c r="S541" s="582"/>
      <c r="T541" s="582"/>
      <c r="U541" s="582"/>
      <c r="V541" s="582"/>
      <c r="W541" s="582"/>
      <c r="X541" s="582"/>
      <c r="Y541" s="582"/>
      <c r="Z541" s="582"/>
      <c r="AA541" s="582"/>
      <c r="AB541" s="260"/>
      <c r="AC541" s="582"/>
      <c r="AD541" s="582"/>
      <c r="AE541" s="582"/>
      <c r="AI541" s="260"/>
    </row>
    <row r="542" spans="15:35">
      <c r="O542" s="259"/>
      <c r="P542" s="582"/>
      <c r="Q542" s="582"/>
      <c r="R542" s="582"/>
      <c r="S542" s="582"/>
      <c r="T542" s="582"/>
      <c r="U542" s="582"/>
      <c r="V542" s="582"/>
      <c r="W542" s="582"/>
      <c r="X542" s="582"/>
      <c r="Y542" s="582"/>
      <c r="Z542" s="582"/>
      <c r="AA542" s="582"/>
      <c r="AB542" s="260"/>
      <c r="AC542" s="582"/>
      <c r="AD542" s="582"/>
      <c r="AE542" s="582"/>
      <c r="AI542" s="260"/>
    </row>
    <row r="543" spans="15:35">
      <c r="O543" s="259"/>
      <c r="P543" s="582"/>
      <c r="Q543" s="582"/>
      <c r="R543" s="582"/>
      <c r="S543" s="582"/>
      <c r="T543" s="582"/>
      <c r="U543" s="582"/>
      <c r="V543" s="582"/>
      <c r="W543" s="582"/>
      <c r="X543" s="582"/>
      <c r="Y543" s="582"/>
      <c r="Z543" s="582"/>
      <c r="AA543" s="582"/>
      <c r="AB543" s="260"/>
      <c r="AC543" s="582"/>
      <c r="AD543" s="582"/>
      <c r="AE543" s="582"/>
      <c r="AI543" s="260"/>
    </row>
    <row r="544" spans="15:35">
      <c r="O544" s="259"/>
      <c r="P544" s="582"/>
      <c r="Q544" s="582"/>
      <c r="R544" s="582"/>
      <c r="S544" s="582"/>
      <c r="T544" s="582"/>
      <c r="U544" s="582"/>
      <c r="V544" s="582"/>
      <c r="W544" s="582"/>
      <c r="X544" s="582"/>
      <c r="Y544" s="582"/>
      <c r="Z544" s="582"/>
      <c r="AA544" s="582"/>
      <c r="AB544" s="260"/>
      <c r="AC544" s="582"/>
      <c r="AD544" s="582"/>
      <c r="AE544" s="582"/>
      <c r="AI544" s="260"/>
    </row>
    <row r="545" spans="15:35">
      <c r="O545" s="259"/>
      <c r="P545" s="582"/>
      <c r="Q545" s="582"/>
      <c r="R545" s="582"/>
      <c r="S545" s="582"/>
      <c r="T545" s="582"/>
      <c r="U545" s="582"/>
      <c r="V545" s="582"/>
      <c r="W545" s="582"/>
      <c r="X545" s="582"/>
      <c r="Y545" s="582"/>
      <c r="Z545" s="582"/>
      <c r="AA545" s="582"/>
      <c r="AB545" s="260"/>
      <c r="AC545" s="582"/>
      <c r="AD545" s="582"/>
      <c r="AE545" s="582"/>
      <c r="AI545" s="260"/>
    </row>
    <row r="546" spans="15:35">
      <c r="O546" s="259"/>
      <c r="P546" s="582"/>
      <c r="Q546" s="582"/>
      <c r="R546" s="582"/>
      <c r="S546" s="582"/>
      <c r="T546" s="582"/>
      <c r="U546" s="582"/>
      <c r="V546" s="582"/>
      <c r="W546" s="582"/>
      <c r="X546" s="582"/>
      <c r="Y546" s="582"/>
      <c r="Z546" s="582"/>
      <c r="AA546" s="582"/>
      <c r="AB546" s="260"/>
      <c r="AC546" s="582"/>
      <c r="AD546" s="582"/>
      <c r="AE546" s="582"/>
      <c r="AI546" s="260"/>
    </row>
    <row r="547" spans="15:35">
      <c r="O547" s="259"/>
      <c r="P547" s="582"/>
      <c r="Q547" s="582"/>
      <c r="R547" s="582"/>
      <c r="S547" s="582"/>
      <c r="T547" s="582"/>
      <c r="U547" s="582"/>
      <c r="V547" s="582"/>
      <c r="W547" s="582"/>
      <c r="X547" s="582"/>
      <c r="Y547" s="582"/>
      <c r="Z547" s="582"/>
      <c r="AA547" s="582"/>
      <c r="AB547" s="260"/>
      <c r="AC547" s="582"/>
      <c r="AD547" s="582"/>
      <c r="AE547" s="582"/>
      <c r="AI547" s="260"/>
    </row>
    <row r="548" spans="15:35">
      <c r="O548" s="259"/>
      <c r="P548" s="582"/>
      <c r="Q548" s="582"/>
      <c r="R548" s="582"/>
      <c r="S548" s="582"/>
      <c r="T548" s="582"/>
      <c r="U548" s="582"/>
      <c r="V548" s="582"/>
      <c r="W548" s="582"/>
      <c r="X548" s="582"/>
      <c r="Y548" s="582"/>
      <c r="Z548" s="582"/>
      <c r="AA548" s="582"/>
      <c r="AB548" s="260"/>
      <c r="AC548" s="582"/>
      <c r="AD548" s="582"/>
      <c r="AE548" s="582"/>
      <c r="AI548" s="260"/>
    </row>
    <row r="549" spans="15:35">
      <c r="O549" s="259"/>
      <c r="P549" s="582"/>
      <c r="Q549" s="582"/>
      <c r="R549" s="582"/>
      <c r="S549" s="582"/>
      <c r="T549" s="582"/>
      <c r="U549" s="582"/>
      <c r="V549" s="582"/>
      <c r="W549" s="582"/>
      <c r="X549" s="582"/>
      <c r="Y549" s="582"/>
      <c r="Z549" s="582"/>
      <c r="AA549" s="582"/>
      <c r="AB549" s="260"/>
      <c r="AC549" s="582"/>
      <c r="AD549" s="582"/>
      <c r="AE549" s="582"/>
      <c r="AI549" s="260"/>
    </row>
    <row r="550" spans="15:35">
      <c r="O550" s="259"/>
      <c r="P550" s="582"/>
      <c r="Q550" s="582"/>
      <c r="R550" s="582"/>
      <c r="S550" s="582"/>
      <c r="T550" s="582"/>
      <c r="U550" s="582"/>
      <c r="V550" s="582"/>
      <c r="W550" s="582"/>
      <c r="X550" s="582"/>
      <c r="Y550" s="582"/>
      <c r="Z550" s="582"/>
      <c r="AA550" s="582"/>
      <c r="AB550" s="260"/>
      <c r="AC550" s="582"/>
      <c r="AD550" s="582"/>
      <c r="AE550" s="582"/>
      <c r="AI550" s="260"/>
    </row>
    <row r="551" spans="15:35">
      <c r="O551" s="259"/>
      <c r="P551" s="582"/>
      <c r="Q551" s="582"/>
      <c r="R551" s="582"/>
      <c r="S551" s="582"/>
      <c r="T551" s="582"/>
      <c r="U551" s="582"/>
      <c r="V551" s="582"/>
      <c r="W551" s="582"/>
      <c r="X551" s="582"/>
      <c r="Y551" s="582"/>
      <c r="Z551" s="582"/>
      <c r="AA551" s="582"/>
      <c r="AB551" s="260"/>
      <c r="AC551" s="582"/>
      <c r="AD551" s="582"/>
      <c r="AE551" s="582"/>
      <c r="AI551" s="260"/>
    </row>
    <row r="552" spans="15:35">
      <c r="O552" s="259"/>
      <c r="P552" s="582"/>
      <c r="Q552" s="582"/>
      <c r="R552" s="582"/>
      <c r="S552" s="582"/>
      <c r="T552" s="582"/>
      <c r="U552" s="582"/>
      <c r="V552" s="582"/>
      <c r="W552" s="582"/>
      <c r="X552" s="582"/>
      <c r="Y552" s="582"/>
      <c r="Z552" s="582"/>
      <c r="AA552" s="582"/>
      <c r="AB552" s="260"/>
      <c r="AC552" s="582"/>
      <c r="AD552" s="582"/>
      <c r="AE552" s="582"/>
      <c r="AI552" s="260"/>
    </row>
    <row r="553" spans="15:35">
      <c r="O553" s="259"/>
      <c r="P553" s="582"/>
      <c r="Q553" s="582"/>
      <c r="R553" s="582"/>
      <c r="S553" s="582"/>
      <c r="T553" s="582"/>
      <c r="U553" s="582"/>
      <c r="V553" s="582"/>
      <c r="W553" s="582"/>
      <c r="X553" s="582"/>
      <c r="Y553" s="582"/>
      <c r="Z553" s="582"/>
      <c r="AA553" s="582"/>
      <c r="AB553" s="260"/>
      <c r="AC553" s="582"/>
      <c r="AD553" s="582"/>
      <c r="AE553" s="582"/>
      <c r="AI553" s="260"/>
    </row>
    <row r="554" spans="15:35">
      <c r="O554" s="259"/>
      <c r="P554" s="582"/>
      <c r="Q554" s="582"/>
      <c r="R554" s="582"/>
      <c r="S554" s="582"/>
      <c r="T554" s="582"/>
      <c r="U554" s="582"/>
      <c r="V554" s="582"/>
      <c r="W554" s="582"/>
      <c r="X554" s="582"/>
      <c r="Y554" s="582"/>
      <c r="Z554" s="582"/>
      <c r="AA554" s="582"/>
      <c r="AB554" s="260"/>
      <c r="AC554" s="582"/>
      <c r="AD554" s="582"/>
      <c r="AE554" s="582"/>
      <c r="AI554" s="260"/>
    </row>
    <row r="555" spans="15:35">
      <c r="O555" s="259"/>
      <c r="P555" s="582"/>
      <c r="Q555" s="582"/>
      <c r="R555" s="582"/>
      <c r="S555" s="582"/>
      <c r="T555" s="582"/>
      <c r="U555" s="582"/>
      <c r="V555" s="582"/>
      <c r="W555" s="582"/>
      <c r="X555" s="582"/>
      <c r="Y555" s="582"/>
      <c r="Z555" s="582"/>
      <c r="AA555" s="582"/>
      <c r="AB555" s="260"/>
      <c r="AC555" s="582"/>
      <c r="AD555" s="582"/>
      <c r="AE555" s="582"/>
      <c r="AI555" s="260"/>
    </row>
    <row r="556" spans="15:35">
      <c r="O556" s="259"/>
      <c r="P556" s="582"/>
      <c r="Q556" s="582"/>
      <c r="R556" s="582"/>
      <c r="S556" s="582"/>
      <c r="T556" s="582"/>
      <c r="U556" s="582"/>
      <c r="V556" s="582"/>
      <c r="W556" s="582"/>
      <c r="X556" s="582"/>
      <c r="Y556" s="582"/>
      <c r="Z556" s="582"/>
      <c r="AA556" s="582"/>
      <c r="AB556" s="260"/>
      <c r="AC556" s="582"/>
      <c r="AD556" s="582"/>
      <c r="AE556" s="582"/>
      <c r="AI556" s="260"/>
    </row>
    <row r="557" spans="15:35">
      <c r="O557" s="259"/>
      <c r="P557" s="582"/>
      <c r="Q557" s="582"/>
      <c r="R557" s="582"/>
      <c r="S557" s="582"/>
      <c r="T557" s="582"/>
      <c r="U557" s="582"/>
      <c r="V557" s="582"/>
      <c r="W557" s="582"/>
      <c r="X557" s="582"/>
      <c r="Y557" s="582"/>
      <c r="Z557" s="582"/>
      <c r="AA557" s="582"/>
      <c r="AB557" s="260"/>
      <c r="AC557" s="582"/>
      <c r="AD557" s="582"/>
      <c r="AE557" s="582"/>
      <c r="AI557" s="260"/>
    </row>
    <row r="558" spans="15:35">
      <c r="O558" s="259"/>
      <c r="P558" s="582"/>
      <c r="Q558" s="582"/>
      <c r="R558" s="582"/>
      <c r="S558" s="582"/>
      <c r="T558" s="582"/>
      <c r="U558" s="582"/>
      <c r="V558" s="582"/>
      <c r="W558" s="582"/>
      <c r="X558" s="582"/>
      <c r="Y558" s="582"/>
      <c r="Z558" s="582"/>
      <c r="AA558" s="582"/>
      <c r="AB558" s="260"/>
      <c r="AC558" s="582"/>
      <c r="AD558" s="582"/>
      <c r="AE558" s="582"/>
      <c r="AI558" s="260"/>
    </row>
    <row r="559" spans="15:35">
      <c r="O559" s="259"/>
      <c r="P559" s="582"/>
      <c r="Q559" s="582"/>
      <c r="R559" s="582"/>
      <c r="S559" s="582"/>
      <c r="T559" s="582"/>
      <c r="U559" s="582"/>
      <c r="V559" s="582"/>
      <c r="W559" s="582"/>
      <c r="X559" s="582"/>
      <c r="Y559" s="582"/>
      <c r="Z559" s="582"/>
      <c r="AA559" s="582"/>
      <c r="AB559" s="260"/>
      <c r="AC559" s="582"/>
      <c r="AD559" s="582"/>
      <c r="AE559" s="582"/>
      <c r="AI559" s="260"/>
    </row>
    <row r="560" spans="15:35">
      <c r="O560" s="259"/>
      <c r="P560" s="582"/>
      <c r="Q560" s="582"/>
      <c r="R560" s="582"/>
      <c r="S560" s="582"/>
      <c r="T560" s="582"/>
      <c r="U560" s="582"/>
      <c r="V560" s="582"/>
      <c r="W560" s="582"/>
      <c r="X560" s="582"/>
      <c r="Y560" s="582"/>
      <c r="Z560" s="582"/>
      <c r="AA560" s="582"/>
      <c r="AB560" s="260"/>
      <c r="AC560" s="582"/>
      <c r="AD560" s="582"/>
      <c r="AE560" s="582"/>
      <c r="AI560" s="260"/>
    </row>
    <row r="561" spans="15:35">
      <c r="O561" s="259"/>
      <c r="P561" s="582"/>
      <c r="Q561" s="582"/>
      <c r="R561" s="582"/>
      <c r="S561" s="582"/>
      <c r="T561" s="582"/>
      <c r="U561" s="582"/>
      <c r="V561" s="582"/>
      <c r="W561" s="582"/>
      <c r="X561" s="582"/>
      <c r="Y561" s="582"/>
      <c r="Z561" s="582"/>
      <c r="AA561" s="582"/>
      <c r="AB561" s="260"/>
      <c r="AC561" s="582"/>
      <c r="AD561" s="582"/>
      <c r="AE561" s="582"/>
      <c r="AI561" s="260"/>
    </row>
    <row r="562" spans="15:35">
      <c r="O562" s="259"/>
      <c r="P562" s="582"/>
      <c r="Q562" s="582"/>
      <c r="R562" s="582"/>
      <c r="S562" s="582"/>
      <c r="T562" s="582"/>
      <c r="U562" s="582"/>
      <c r="V562" s="582"/>
      <c r="W562" s="582"/>
      <c r="X562" s="582"/>
      <c r="Y562" s="582"/>
      <c r="Z562" s="582"/>
      <c r="AA562" s="582"/>
      <c r="AB562" s="260"/>
      <c r="AC562" s="582"/>
      <c r="AD562" s="582"/>
      <c r="AE562" s="582"/>
      <c r="AI562" s="260"/>
    </row>
    <row r="563" spans="15:35">
      <c r="O563" s="259"/>
      <c r="P563" s="582"/>
      <c r="Q563" s="582"/>
      <c r="R563" s="582"/>
      <c r="S563" s="582"/>
      <c r="T563" s="582"/>
      <c r="U563" s="582"/>
      <c r="V563" s="582"/>
      <c r="W563" s="582"/>
      <c r="X563" s="582"/>
      <c r="Y563" s="582"/>
      <c r="Z563" s="582"/>
      <c r="AA563" s="582"/>
      <c r="AB563" s="260"/>
      <c r="AC563" s="582"/>
      <c r="AD563" s="582"/>
      <c r="AE563" s="582"/>
      <c r="AI563" s="260"/>
    </row>
    <row r="564" spans="15:35">
      <c r="O564" s="259"/>
      <c r="P564" s="582"/>
      <c r="Q564" s="582"/>
      <c r="R564" s="582"/>
      <c r="S564" s="582"/>
      <c r="T564" s="582"/>
      <c r="U564" s="582"/>
      <c r="V564" s="582"/>
      <c r="W564" s="582"/>
      <c r="X564" s="582"/>
      <c r="Y564" s="582"/>
      <c r="Z564" s="582"/>
      <c r="AA564" s="582"/>
      <c r="AB564" s="260"/>
      <c r="AC564" s="582"/>
      <c r="AD564" s="582"/>
      <c r="AE564" s="582"/>
      <c r="AI564" s="260"/>
    </row>
    <row r="565" spans="15:35">
      <c r="O565" s="259"/>
      <c r="P565" s="582"/>
      <c r="Q565" s="582"/>
      <c r="R565" s="582"/>
      <c r="S565" s="582"/>
      <c r="T565" s="582"/>
      <c r="U565" s="582"/>
      <c r="V565" s="582"/>
      <c r="W565" s="582"/>
      <c r="X565" s="582"/>
      <c r="Y565" s="582"/>
      <c r="Z565" s="582"/>
      <c r="AA565" s="582"/>
      <c r="AB565" s="260"/>
      <c r="AC565" s="582"/>
      <c r="AD565" s="582"/>
      <c r="AE565" s="582"/>
      <c r="AI565" s="260"/>
    </row>
    <row r="566" spans="15:35">
      <c r="O566" s="259"/>
      <c r="P566" s="582"/>
      <c r="Q566" s="582"/>
      <c r="R566" s="582"/>
      <c r="S566" s="582"/>
      <c r="T566" s="582"/>
      <c r="U566" s="582"/>
      <c r="V566" s="582"/>
      <c r="W566" s="582"/>
      <c r="X566" s="582"/>
      <c r="Y566" s="582"/>
      <c r="Z566" s="582"/>
      <c r="AA566" s="582"/>
      <c r="AB566" s="260"/>
      <c r="AC566" s="582"/>
      <c r="AD566" s="582"/>
      <c r="AE566" s="582"/>
      <c r="AI566" s="260"/>
    </row>
    <row r="567" spans="15:35">
      <c r="O567" s="259"/>
      <c r="P567" s="582"/>
      <c r="Q567" s="582"/>
      <c r="R567" s="582"/>
      <c r="S567" s="582"/>
      <c r="T567" s="582"/>
      <c r="U567" s="582"/>
      <c r="V567" s="582"/>
      <c r="W567" s="582"/>
      <c r="X567" s="582"/>
      <c r="Y567" s="582"/>
      <c r="Z567" s="582"/>
      <c r="AA567" s="582"/>
      <c r="AB567" s="260"/>
      <c r="AC567" s="582"/>
      <c r="AD567" s="582"/>
      <c r="AE567" s="582"/>
      <c r="AI567" s="260"/>
    </row>
    <row r="568" spans="15:35">
      <c r="O568" s="259"/>
      <c r="P568" s="582"/>
      <c r="Q568" s="582"/>
      <c r="R568" s="582"/>
      <c r="S568" s="582"/>
      <c r="T568" s="582"/>
      <c r="U568" s="582"/>
      <c r="V568" s="582"/>
      <c r="W568" s="582"/>
      <c r="X568" s="582"/>
      <c r="Y568" s="582"/>
      <c r="Z568" s="582"/>
      <c r="AA568" s="582"/>
      <c r="AB568" s="260"/>
      <c r="AC568" s="582"/>
      <c r="AD568" s="582"/>
      <c r="AE568" s="582"/>
      <c r="AI568" s="260"/>
    </row>
    <row r="569" spans="15:35">
      <c r="O569" s="259"/>
      <c r="P569" s="582"/>
      <c r="Q569" s="582"/>
      <c r="R569" s="582"/>
      <c r="S569" s="582"/>
      <c r="T569" s="582"/>
      <c r="U569" s="582"/>
      <c r="V569" s="582"/>
      <c r="W569" s="582"/>
      <c r="X569" s="582"/>
      <c r="Y569" s="582"/>
      <c r="Z569" s="582"/>
      <c r="AA569" s="582"/>
      <c r="AB569" s="260"/>
      <c r="AC569" s="582"/>
      <c r="AD569" s="582"/>
      <c r="AE569" s="582"/>
      <c r="AI569" s="260"/>
    </row>
    <row r="570" spans="15:35">
      <c r="O570" s="259"/>
      <c r="P570" s="582"/>
      <c r="Q570" s="582"/>
      <c r="R570" s="582"/>
      <c r="S570" s="582"/>
      <c r="T570" s="582"/>
      <c r="U570" s="582"/>
      <c r="V570" s="582"/>
      <c r="W570" s="582"/>
      <c r="X570" s="582"/>
      <c r="Y570" s="582"/>
      <c r="Z570" s="582"/>
      <c r="AA570" s="582"/>
      <c r="AB570" s="260"/>
      <c r="AC570" s="582"/>
      <c r="AD570" s="582"/>
      <c r="AE570" s="582"/>
      <c r="AI570" s="260"/>
    </row>
    <row r="571" spans="15:35">
      <c r="O571" s="259"/>
      <c r="P571" s="582"/>
      <c r="Q571" s="582"/>
      <c r="R571" s="582"/>
      <c r="S571" s="582"/>
      <c r="T571" s="582"/>
      <c r="U571" s="582"/>
      <c r="V571" s="582"/>
      <c r="W571" s="582"/>
      <c r="X571" s="582"/>
      <c r="Y571" s="582"/>
      <c r="Z571" s="582"/>
      <c r="AA571" s="582"/>
      <c r="AB571" s="260"/>
      <c r="AC571" s="582"/>
      <c r="AD571" s="582"/>
      <c r="AE571" s="582"/>
      <c r="AI571" s="260"/>
    </row>
    <row r="572" spans="15:35">
      <c r="O572" s="259"/>
      <c r="P572" s="582"/>
      <c r="Q572" s="582"/>
      <c r="R572" s="582"/>
      <c r="S572" s="582"/>
      <c r="T572" s="582"/>
      <c r="U572" s="582"/>
      <c r="V572" s="582"/>
      <c r="W572" s="582"/>
      <c r="X572" s="582"/>
      <c r="Y572" s="582"/>
      <c r="Z572" s="582"/>
      <c r="AA572" s="582"/>
      <c r="AB572" s="260"/>
      <c r="AC572" s="582"/>
      <c r="AD572" s="582"/>
      <c r="AE572" s="582"/>
      <c r="AI572" s="260"/>
    </row>
    <row r="573" spans="15:35">
      <c r="O573" s="259"/>
      <c r="P573" s="582"/>
      <c r="Q573" s="582"/>
      <c r="R573" s="582"/>
      <c r="S573" s="582"/>
      <c r="T573" s="582"/>
      <c r="U573" s="582"/>
      <c r="V573" s="582"/>
      <c r="W573" s="582"/>
      <c r="X573" s="582"/>
      <c r="Y573" s="582"/>
      <c r="Z573" s="582"/>
      <c r="AA573" s="582"/>
      <c r="AB573" s="260"/>
      <c r="AC573" s="582"/>
      <c r="AD573" s="582"/>
      <c r="AE573" s="582"/>
      <c r="AI573" s="260"/>
    </row>
    <row r="574" spans="15:35">
      <c r="O574" s="259"/>
      <c r="P574" s="582"/>
      <c r="Q574" s="582"/>
      <c r="R574" s="582"/>
      <c r="S574" s="582"/>
      <c r="T574" s="582"/>
      <c r="U574" s="582"/>
      <c r="V574" s="582"/>
      <c r="W574" s="582"/>
      <c r="X574" s="582"/>
      <c r="Y574" s="582"/>
      <c r="Z574" s="582"/>
      <c r="AA574" s="582"/>
      <c r="AB574" s="260"/>
      <c r="AC574" s="582"/>
      <c r="AD574" s="582"/>
      <c r="AE574" s="582"/>
      <c r="AI574" s="260"/>
    </row>
    <row r="575" spans="15:35">
      <c r="O575" s="259"/>
      <c r="P575" s="582"/>
      <c r="Q575" s="582"/>
      <c r="R575" s="582"/>
      <c r="S575" s="582"/>
      <c r="T575" s="582"/>
      <c r="U575" s="582"/>
      <c r="V575" s="582"/>
      <c r="W575" s="582"/>
      <c r="X575" s="582"/>
      <c r="Y575" s="582"/>
      <c r="Z575" s="582"/>
      <c r="AA575" s="582"/>
      <c r="AB575" s="260"/>
      <c r="AC575" s="582"/>
      <c r="AD575" s="582"/>
      <c r="AE575" s="582"/>
      <c r="AI575" s="260"/>
    </row>
    <row r="576" spans="15:35">
      <c r="O576" s="259"/>
      <c r="P576" s="582"/>
      <c r="Q576" s="582"/>
      <c r="R576" s="582"/>
      <c r="S576" s="582"/>
      <c r="T576" s="582"/>
      <c r="U576" s="582"/>
      <c r="V576" s="582"/>
      <c r="W576" s="582"/>
      <c r="X576" s="582"/>
      <c r="Y576" s="582"/>
      <c r="Z576" s="582"/>
      <c r="AA576" s="582"/>
      <c r="AB576" s="260"/>
      <c r="AC576" s="582"/>
      <c r="AD576" s="582"/>
      <c r="AE576" s="582"/>
      <c r="AI576" s="260"/>
    </row>
    <row r="577" spans="15:35">
      <c r="O577" s="259"/>
      <c r="P577" s="582"/>
      <c r="Q577" s="582"/>
      <c r="R577" s="582"/>
      <c r="S577" s="582"/>
      <c r="T577" s="582"/>
      <c r="U577" s="582"/>
      <c r="V577" s="582"/>
      <c r="W577" s="582"/>
      <c r="X577" s="582"/>
      <c r="Y577" s="582"/>
      <c r="Z577" s="582"/>
      <c r="AA577" s="582"/>
      <c r="AB577" s="260"/>
      <c r="AC577" s="582"/>
      <c r="AD577" s="582"/>
      <c r="AE577" s="582"/>
      <c r="AI577" s="260"/>
    </row>
    <row r="578" spans="15:35">
      <c r="O578" s="259"/>
      <c r="P578" s="582"/>
      <c r="Q578" s="582"/>
      <c r="R578" s="582"/>
      <c r="S578" s="582"/>
      <c r="T578" s="582"/>
      <c r="U578" s="582"/>
      <c r="V578" s="582"/>
      <c r="W578" s="582"/>
      <c r="X578" s="582"/>
      <c r="Y578" s="582"/>
      <c r="Z578" s="582"/>
      <c r="AA578" s="582"/>
      <c r="AB578" s="260"/>
      <c r="AC578" s="582"/>
      <c r="AD578" s="582"/>
      <c r="AE578" s="582"/>
      <c r="AI578" s="260"/>
    </row>
    <row r="579" spans="15:35">
      <c r="O579" s="259"/>
      <c r="P579" s="582"/>
      <c r="Q579" s="582"/>
      <c r="R579" s="582"/>
      <c r="S579" s="582"/>
      <c r="T579" s="582"/>
      <c r="U579" s="582"/>
      <c r="V579" s="582"/>
      <c r="W579" s="582"/>
      <c r="X579" s="582"/>
      <c r="Y579" s="582"/>
      <c r="Z579" s="582"/>
      <c r="AA579" s="582"/>
      <c r="AB579" s="260"/>
      <c r="AC579" s="582"/>
      <c r="AD579" s="582"/>
      <c r="AE579" s="582"/>
      <c r="AI579" s="260"/>
    </row>
    <row r="580" spans="15:35">
      <c r="O580" s="259"/>
      <c r="P580" s="582"/>
      <c r="Q580" s="582"/>
      <c r="R580" s="582"/>
      <c r="S580" s="582"/>
      <c r="T580" s="582"/>
      <c r="U580" s="582"/>
      <c r="V580" s="582"/>
      <c r="W580" s="582"/>
      <c r="X580" s="582"/>
      <c r="Y580" s="582"/>
      <c r="Z580" s="582"/>
      <c r="AA580" s="582"/>
      <c r="AB580" s="260"/>
      <c r="AC580" s="582"/>
      <c r="AD580" s="582"/>
      <c r="AE580" s="582"/>
      <c r="AI580" s="260"/>
    </row>
    <row r="581" spans="15:35">
      <c r="O581" s="259"/>
      <c r="P581" s="582"/>
      <c r="Q581" s="582"/>
      <c r="R581" s="582"/>
      <c r="S581" s="582"/>
      <c r="T581" s="582"/>
      <c r="U581" s="582"/>
      <c r="V581" s="582"/>
      <c r="W581" s="582"/>
      <c r="X581" s="582"/>
      <c r="Y581" s="582"/>
      <c r="Z581" s="582"/>
      <c r="AA581" s="582"/>
      <c r="AB581" s="260"/>
      <c r="AC581" s="582"/>
      <c r="AD581" s="582"/>
      <c r="AE581" s="582"/>
      <c r="AI581" s="260"/>
    </row>
    <row r="582" spans="15:35">
      <c r="O582" s="259"/>
      <c r="P582" s="582"/>
      <c r="Q582" s="582"/>
      <c r="R582" s="582"/>
      <c r="S582" s="582"/>
      <c r="T582" s="582"/>
      <c r="U582" s="582"/>
      <c r="V582" s="582"/>
      <c r="W582" s="582"/>
      <c r="X582" s="582"/>
      <c r="Y582" s="582"/>
      <c r="Z582" s="582"/>
      <c r="AA582" s="582"/>
      <c r="AB582" s="260"/>
      <c r="AC582" s="582"/>
      <c r="AD582" s="582"/>
      <c r="AE582" s="582"/>
      <c r="AI582" s="260"/>
    </row>
    <row r="583" spans="15:35">
      <c r="O583" s="259"/>
      <c r="P583" s="582"/>
      <c r="Q583" s="582"/>
      <c r="R583" s="582"/>
      <c r="S583" s="582"/>
      <c r="T583" s="582"/>
      <c r="U583" s="582"/>
      <c r="V583" s="582"/>
      <c r="W583" s="582"/>
      <c r="X583" s="582"/>
      <c r="Y583" s="582"/>
      <c r="Z583" s="582"/>
      <c r="AA583" s="582"/>
      <c r="AB583" s="260"/>
      <c r="AC583" s="582"/>
      <c r="AD583" s="582"/>
      <c r="AE583" s="582"/>
      <c r="AI583" s="260"/>
    </row>
    <row r="584" spans="15:35">
      <c r="O584" s="259"/>
      <c r="P584" s="582"/>
      <c r="Q584" s="582"/>
      <c r="R584" s="582"/>
      <c r="S584" s="582"/>
      <c r="T584" s="582"/>
      <c r="U584" s="582"/>
      <c r="V584" s="582"/>
      <c r="W584" s="582"/>
      <c r="X584" s="582"/>
      <c r="Y584" s="582"/>
      <c r="Z584" s="582"/>
      <c r="AA584" s="582"/>
      <c r="AB584" s="260"/>
      <c r="AC584" s="582"/>
      <c r="AD584" s="582"/>
      <c r="AE584" s="582"/>
      <c r="AI584" s="260"/>
    </row>
    <row r="585" spans="15:35">
      <c r="O585" s="259"/>
      <c r="P585" s="582"/>
      <c r="Q585" s="582"/>
      <c r="R585" s="582"/>
      <c r="S585" s="582"/>
      <c r="T585" s="582"/>
      <c r="U585" s="582"/>
      <c r="V585" s="582"/>
      <c r="W585" s="582"/>
      <c r="X585" s="582"/>
      <c r="Y585" s="582"/>
      <c r="Z585" s="582"/>
      <c r="AA585" s="582"/>
      <c r="AB585" s="260"/>
      <c r="AC585" s="582"/>
      <c r="AD585" s="582"/>
      <c r="AE585" s="582"/>
      <c r="AI585" s="260"/>
    </row>
    <row r="586" spans="15:35">
      <c r="O586" s="259"/>
      <c r="P586" s="582"/>
      <c r="Q586" s="582"/>
      <c r="R586" s="582"/>
      <c r="S586" s="582"/>
      <c r="T586" s="582"/>
      <c r="U586" s="582"/>
      <c r="V586" s="582"/>
      <c r="W586" s="582"/>
      <c r="X586" s="582"/>
      <c r="Y586" s="582"/>
      <c r="Z586" s="582"/>
      <c r="AA586" s="582"/>
      <c r="AB586" s="260"/>
      <c r="AC586" s="582"/>
      <c r="AD586" s="582"/>
      <c r="AE586" s="582"/>
      <c r="AI586" s="260"/>
    </row>
    <row r="587" spans="15:35">
      <c r="O587" s="259"/>
      <c r="P587" s="582"/>
      <c r="Q587" s="582"/>
      <c r="R587" s="582"/>
      <c r="S587" s="582"/>
      <c r="T587" s="582"/>
      <c r="U587" s="582"/>
      <c r="V587" s="582"/>
      <c r="W587" s="582"/>
      <c r="X587" s="582"/>
      <c r="Y587" s="582"/>
      <c r="Z587" s="582"/>
      <c r="AA587" s="582"/>
      <c r="AB587" s="260"/>
      <c r="AC587" s="582"/>
      <c r="AD587" s="582"/>
      <c r="AE587" s="582"/>
      <c r="AI587" s="260"/>
    </row>
    <row r="588" spans="15:35">
      <c r="O588" s="259"/>
      <c r="P588" s="582"/>
      <c r="Q588" s="582"/>
      <c r="R588" s="582"/>
      <c r="S588" s="582"/>
      <c r="T588" s="582"/>
      <c r="U588" s="582"/>
      <c r="V588" s="582"/>
      <c r="W588" s="582"/>
      <c r="X588" s="582"/>
      <c r="Y588" s="582"/>
      <c r="Z588" s="582"/>
      <c r="AA588" s="582"/>
      <c r="AB588" s="260"/>
      <c r="AC588" s="582"/>
      <c r="AD588" s="582"/>
      <c r="AE588" s="582"/>
      <c r="AI588" s="260"/>
    </row>
    <row r="589" spans="15:35">
      <c r="O589" s="259"/>
      <c r="P589" s="582"/>
      <c r="Q589" s="582"/>
      <c r="R589" s="582"/>
      <c r="S589" s="582"/>
      <c r="T589" s="582"/>
      <c r="U589" s="582"/>
      <c r="V589" s="582"/>
      <c r="W589" s="582"/>
      <c r="X589" s="582"/>
      <c r="Y589" s="582"/>
      <c r="Z589" s="582"/>
      <c r="AA589" s="582"/>
      <c r="AB589" s="260"/>
      <c r="AC589" s="582"/>
      <c r="AD589" s="582"/>
      <c r="AE589" s="582"/>
      <c r="AI589" s="260"/>
    </row>
    <row r="590" spans="15:35">
      <c r="O590" s="259"/>
      <c r="P590" s="582"/>
      <c r="Q590" s="582"/>
      <c r="R590" s="582"/>
      <c r="S590" s="582"/>
      <c r="T590" s="582"/>
      <c r="U590" s="582"/>
      <c r="V590" s="582"/>
      <c r="W590" s="582"/>
      <c r="X590" s="582"/>
      <c r="Y590" s="582"/>
      <c r="Z590" s="582"/>
      <c r="AA590" s="582"/>
      <c r="AB590" s="260"/>
      <c r="AC590" s="582"/>
      <c r="AD590" s="582"/>
      <c r="AE590" s="582"/>
      <c r="AI590" s="260"/>
    </row>
    <row r="591" spans="15:35">
      <c r="O591" s="259"/>
      <c r="P591" s="582"/>
      <c r="Q591" s="582"/>
      <c r="R591" s="582"/>
      <c r="S591" s="582"/>
      <c r="T591" s="582"/>
      <c r="U591" s="582"/>
      <c r="V591" s="582"/>
      <c r="W591" s="582"/>
      <c r="X591" s="582"/>
      <c r="Y591" s="582"/>
      <c r="Z591" s="582"/>
      <c r="AA591" s="582"/>
      <c r="AB591" s="260"/>
      <c r="AC591" s="582"/>
      <c r="AD591" s="582"/>
      <c r="AE591" s="582"/>
      <c r="AI591" s="260"/>
    </row>
    <row r="592" spans="15:35">
      <c r="O592" s="259"/>
      <c r="P592" s="582"/>
      <c r="Q592" s="582"/>
      <c r="R592" s="582"/>
      <c r="S592" s="582"/>
      <c r="T592" s="582"/>
      <c r="U592" s="582"/>
      <c r="V592" s="582"/>
      <c r="W592" s="582"/>
      <c r="X592" s="582"/>
      <c r="Y592" s="582"/>
      <c r="Z592" s="582"/>
      <c r="AA592" s="582"/>
      <c r="AB592" s="260"/>
      <c r="AC592" s="582"/>
      <c r="AD592" s="582"/>
      <c r="AE592" s="582"/>
      <c r="AI592" s="260"/>
    </row>
    <row r="593" spans="15:35">
      <c r="O593" s="259"/>
      <c r="P593" s="582"/>
      <c r="Q593" s="582"/>
      <c r="R593" s="582"/>
      <c r="S593" s="582"/>
      <c r="T593" s="582"/>
      <c r="U593" s="582"/>
      <c r="V593" s="582"/>
      <c r="W593" s="582"/>
      <c r="X593" s="582"/>
      <c r="Y593" s="582"/>
      <c r="Z593" s="582"/>
      <c r="AA593" s="582"/>
      <c r="AB593" s="260"/>
      <c r="AC593" s="582"/>
      <c r="AD593" s="582"/>
      <c r="AE593" s="582"/>
      <c r="AI593" s="260"/>
    </row>
    <row r="594" spans="15:35">
      <c r="O594" s="259"/>
      <c r="P594" s="582"/>
      <c r="Q594" s="582"/>
      <c r="R594" s="582"/>
      <c r="S594" s="582"/>
      <c r="T594" s="582"/>
      <c r="U594" s="582"/>
      <c r="V594" s="582"/>
      <c r="W594" s="582"/>
      <c r="X594" s="582"/>
      <c r="Y594" s="582"/>
      <c r="Z594" s="582"/>
      <c r="AA594" s="582"/>
      <c r="AB594" s="260"/>
      <c r="AC594" s="582"/>
      <c r="AD594" s="582"/>
      <c r="AE594" s="582"/>
      <c r="AI594" s="260"/>
    </row>
    <row r="595" spans="15:35">
      <c r="O595" s="259"/>
      <c r="P595" s="582"/>
      <c r="Q595" s="582"/>
      <c r="R595" s="582"/>
      <c r="S595" s="582"/>
      <c r="T595" s="582"/>
      <c r="U595" s="582"/>
      <c r="V595" s="582"/>
      <c r="W595" s="582"/>
      <c r="X595" s="582"/>
      <c r="Y595" s="582"/>
      <c r="Z595" s="582"/>
      <c r="AA595" s="582"/>
      <c r="AB595" s="260"/>
      <c r="AC595" s="582"/>
      <c r="AD595" s="582"/>
      <c r="AE595" s="582"/>
      <c r="AI595" s="260"/>
    </row>
    <row r="596" spans="15:35">
      <c r="O596" s="259"/>
      <c r="P596" s="582"/>
      <c r="Q596" s="582"/>
      <c r="R596" s="582"/>
      <c r="S596" s="582"/>
      <c r="T596" s="582"/>
      <c r="U596" s="582"/>
      <c r="V596" s="582"/>
      <c r="W596" s="582"/>
      <c r="X596" s="582"/>
      <c r="Y596" s="582"/>
      <c r="Z596" s="582"/>
      <c r="AA596" s="582"/>
      <c r="AB596" s="260"/>
      <c r="AC596" s="582"/>
      <c r="AD596" s="582"/>
      <c r="AE596" s="582"/>
      <c r="AI596" s="260"/>
    </row>
    <row r="597" spans="15:35">
      <c r="O597" s="259"/>
      <c r="P597" s="582"/>
      <c r="Q597" s="582"/>
      <c r="R597" s="582"/>
      <c r="S597" s="582"/>
      <c r="T597" s="582"/>
      <c r="U597" s="582"/>
      <c r="V597" s="582"/>
      <c r="W597" s="582"/>
      <c r="X597" s="582"/>
      <c r="Y597" s="582"/>
      <c r="Z597" s="582"/>
      <c r="AA597" s="582"/>
      <c r="AB597" s="260"/>
      <c r="AC597" s="582"/>
      <c r="AD597" s="582"/>
      <c r="AE597" s="582"/>
      <c r="AI597" s="260"/>
    </row>
    <row r="598" spans="15:35">
      <c r="O598" s="259"/>
      <c r="P598" s="582"/>
      <c r="Q598" s="582"/>
      <c r="R598" s="582"/>
      <c r="S598" s="582"/>
      <c r="T598" s="582"/>
      <c r="U598" s="582"/>
      <c r="V598" s="582"/>
      <c r="W598" s="582"/>
      <c r="X598" s="582"/>
      <c r="Y598" s="582"/>
      <c r="Z598" s="582"/>
      <c r="AA598" s="582"/>
      <c r="AB598" s="260"/>
      <c r="AC598" s="582"/>
      <c r="AD598" s="582"/>
      <c r="AE598" s="582"/>
      <c r="AI598" s="260"/>
    </row>
    <row r="599" spans="15:35">
      <c r="O599" s="259"/>
      <c r="P599" s="582"/>
      <c r="Q599" s="582"/>
      <c r="R599" s="582"/>
      <c r="S599" s="582"/>
      <c r="T599" s="582"/>
      <c r="U599" s="582"/>
      <c r="V599" s="582"/>
      <c r="W599" s="582"/>
      <c r="X599" s="582"/>
      <c r="Y599" s="582"/>
      <c r="Z599" s="582"/>
      <c r="AA599" s="582"/>
      <c r="AB599" s="260"/>
      <c r="AC599" s="582"/>
      <c r="AD599" s="582"/>
      <c r="AE599" s="582"/>
      <c r="AI599" s="260"/>
    </row>
    <row r="600" spans="15:35">
      <c r="O600" s="259"/>
      <c r="P600" s="582"/>
      <c r="Q600" s="582"/>
      <c r="R600" s="582"/>
      <c r="S600" s="582"/>
      <c r="T600" s="582"/>
      <c r="U600" s="582"/>
      <c r="V600" s="582"/>
      <c r="W600" s="582"/>
      <c r="X600" s="582"/>
      <c r="Y600" s="582"/>
      <c r="Z600" s="582"/>
      <c r="AA600" s="582"/>
      <c r="AB600" s="260"/>
      <c r="AC600" s="582"/>
      <c r="AD600" s="582"/>
      <c r="AE600" s="582"/>
      <c r="AI600" s="260"/>
    </row>
    <row r="601" spans="15:35">
      <c r="O601" s="259"/>
      <c r="P601" s="582"/>
      <c r="Q601" s="582"/>
      <c r="R601" s="582"/>
      <c r="S601" s="582"/>
      <c r="T601" s="582"/>
      <c r="U601" s="582"/>
      <c r="V601" s="582"/>
      <c r="W601" s="582"/>
      <c r="X601" s="582"/>
      <c r="Y601" s="582"/>
      <c r="Z601" s="582"/>
      <c r="AA601" s="582"/>
      <c r="AB601" s="260"/>
      <c r="AC601" s="582"/>
      <c r="AD601" s="582"/>
      <c r="AE601" s="582"/>
      <c r="AI601" s="260"/>
    </row>
    <row r="602" spans="15:35">
      <c r="O602" s="259"/>
      <c r="P602" s="582"/>
      <c r="Q602" s="582"/>
      <c r="R602" s="582"/>
      <c r="S602" s="582"/>
      <c r="T602" s="582"/>
      <c r="U602" s="582"/>
      <c r="V602" s="582"/>
      <c r="W602" s="582"/>
      <c r="X602" s="582"/>
      <c r="Y602" s="582"/>
      <c r="Z602" s="582"/>
      <c r="AA602" s="582"/>
      <c r="AB602" s="260"/>
      <c r="AC602" s="582"/>
      <c r="AD602" s="582"/>
      <c r="AE602" s="582"/>
      <c r="AI602" s="260"/>
    </row>
    <row r="603" spans="15:35">
      <c r="O603" s="259"/>
      <c r="P603" s="582"/>
      <c r="Q603" s="582"/>
      <c r="R603" s="582"/>
      <c r="S603" s="582"/>
      <c r="T603" s="582"/>
      <c r="U603" s="582"/>
      <c r="V603" s="582"/>
      <c r="W603" s="582"/>
      <c r="X603" s="582"/>
      <c r="Y603" s="582"/>
      <c r="Z603" s="582"/>
      <c r="AA603" s="582"/>
      <c r="AB603" s="260"/>
      <c r="AC603" s="582"/>
      <c r="AD603" s="582"/>
      <c r="AE603" s="582"/>
      <c r="AI603" s="260"/>
    </row>
    <row r="604" spans="15:35">
      <c r="O604" s="259"/>
      <c r="P604" s="582"/>
      <c r="Q604" s="582"/>
      <c r="R604" s="582"/>
      <c r="S604" s="582"/>
      <c r="T604" s="582"/>
      <c r="U604" s="582"/>
      <c r="V604" s="582"/>
      <c r="W604" s="582"/>
      <c r="X604" s="582"/>
      <c r="Y604" s="582"/>
      <c r="Z604" s="582"/>
      <c r="AA604" s="582"/>
      <c r="AB604" s="260"/>
      <c r="AC604" s="582"/>
      <c r="AD604" s="582"/>
      <c r="AE604" s="582"/>
      <c r="AI604" s="260"/>
    </row>
    <row r="605" spans="15:35">
      <c r="O605" s="259"/>
      <c r="P605" s="582"/>
      <c r="Q605" s="582"/>
      <c r="R605" s="582"/>
      <c r="S605" s="582"/>
      <c r="T605" s="582"/>
      <c r="U605" s="582"/>
      <c r="V605" s="582"/>
      <c r="W605" s="582"/>
      <c r="X605" s="582"/>
      <c r="Y605" s="582"/>
      <c r="Z605" s="582"/>
      <c r="AA605" s="582"/>
      <c r="AB605" s="260"/>
      <c r="AC605" s="582"/>
      <c r="AD605" s="582"/>
      <c r="AE605" s="582"/>
      <c r="AI605" s="260"/>
    </row>
    <row r="606" spans="15:35">
      <c r="O606" s="259"/>
      <c r="P606" s="582"/>
      <c r="Q606" s="582"/>
      <c r="R606" s="582"/>
      <c r="S606" s="582"/>
      <c r="T606" s="582"/>
      <c r="U606" s="582"/>
      <c r="V606" s="582"/>
      <c r="W606" s="582"/>
      <c r="X606" s="582"/>
      <c r="Y606" s="582"/>
      <c r="Z606" s="582"/>
      <c r="AA606" s="582"/>
      <c r="AB606" s="260"/>
      <c r="AC606" s="582"/>
      <c r="AD606" s="582"/>
      <c r="AE606" s="582"/>
      <c r="AI606" s="260"/>
    </row>
    <row r="607" spans="15:35">
      <c r="O607" s="259"/>
      <c r="P607" s="582"/>
      <c r="Q607" s="582"/>
      <c r="R607" s="582"/>
      <c r="S607" s="582"/>
      <c r="T607" s="582"/>
      <c r="U607" s="582"/>
      <c r="V607" s="582"/>
      <c r="W607" s="582"/>
      <c r="X607" s="582"/>
      <c r="Y607" s="582"/>
      <c r="Z607" s="582"/>
      <c r="AA607" s="582"/>
      <c r="AB607" s="260"/>
      <c r="AC607" s="582"/>
      <c r="AD607" s="582"/>
      <c r="AE607" s="582"/>
      <c r="AI607" s="260"/>
    </row>
    <row r="608" spans="15:35">
      <c r="O608" s="259"/>
      <c r="P608" s="582"/>
      <c r="Q608" s="582"/>
      <c r="R608" s="582"/>
      <c r="S608" s="582"/>
      <c r="T608" s="582"/>
      <c r="U608" s="582"/>
      <c r="V608" s="582"/>
      <c r="W608" s="582"/>
      <c r="X608" s="582"/>
      <c r="Y608" s="582"/>
      <c r="Z608" s="582"/>
      <c r="AA608" s="582"/>
      <c r="AB608" s="260"/>
      <c r="AC608" s="582"/>
      <c r="AD608" s="582"/>
      <c r="AE608" s="582"/>
      <c r="AI608" s="260"/>
    </row>
    <row r="609" spans="15:35">
      <c r="O609" s="259"/>
      <c r="P609" s="582"/>
      <c r="Q609" s="582"/>
      <c r="R609" s="582"/>
      <c r="S609" s="582"/>
      <c r="T609" s="582"/>
      <c r="U609" s="582"/>
      <c r="V609" s="582"/>
      <c r="W609" s="582"/>
      <c r="X609" s="582"/>
      <c r="Y609" s="582"/>
      <c r="Z609" s="582"/>
      <c r="AA609" s="582"/>
      <c r="AB609" s="260"/>
      <c r="AC609" s="582"/>
      <c r="AD609" s="582"/>
      <c r="AE609" s="582"/>
      <c r="AI609" s="260"/>
    </row>
    <row r="610" spans="15:35">
      <c r="O610" s="259"/>
      <c r="P610" s="582"/>
      <c r="Q610" s="582"/>
      <c r="R610" s="582"/>
      <c r="S610" s="582"/>
      <c r="T610" s="582"/>
      <c r="U610" s="582"/>
      <c r="V610" s="582"/>
      <c r="W610" s="582"/>
      <c r="X610" s="582"/>
      <c r="Y610" s="582"/>
      <c r="Z610" s="582"/>
      <c r="AA610" s="582"/>
      <c r="AB610" s="260"/>
      <c r="AC610" s="582"/>
      <c r="AD610" s="582"/>
      <c r="AE610" s="582"/>
      <c r="AI610" s="260"/>
    </row>
    <row r="611" spans="15:35">
      <c r="O611" s="259"/>
      <c r="P611" s="582"/>
      <c r="Q611" s="582"/>
      <c r="R611" s="582"/>
      <c r="S611" s="582"/>
      <c r="T611" s="582"/>
      <c r="U611" s="582"/>
      <c r="V611" s="582"/>
      <c r="W611" s="582"/>
      <c r="X611" s="582"/>
      <c r="Y611" s="582"/>
      <c r="Z611" s="582"/>
      <c r="AA611" s="582"/>
      <c r="AB611" s="260"/>
      <c r="AC611" s="582"/>
      <c r="AD611" s="582"/>
      <c r="AE611" s="582"/>
      <c r="AI611" s="260"/>
    </row>
    <row r="612" spans="15:35">
      <c r="O612" s="259"/>
      <c r="P612" s="582"/>
      <c r="Q612" s="582"/>
      <c r="R612" s="582"/>
      <c r="S612" s="582"/>
      <c r="T612" s="582"/>
      <c r="U612" s="582"/>
      <c r="V612" s="582"/>
      <c r="W612" s="582"/>
      <c r="X612" s="582"/>
      <c r="Y612" s="582"/>
      <c r="Z612" s="582"/>
      <c r="AA612" s="582"/>
      <c r="AB612" s="260"/>
      <c r="AC612" s="582"/>
      <c r="AD612" s="582"/>
      <c r="AE612" s="582"/>
      <c r="AI612" s="260"/>
    </row>
    <row r="613" spans="15:35">
      <c r="O613" s="259"/>
      <c r="P613" s="582"/>
      <c r="Q613" s="582"/>
      <c r="R613" s="582"/>
      <c r="S613" s="582"/>
      <c r="T613" s="582"/>
      <c r="U613" s="582"/>
      <c r="V613" s="582"/>
      <c r="W613" s="582"/>
      <c r="X613" s="582"/>
      <c r="Y613" s="582"/>
      <c r="Z613" s="582"/>
      <c r="AA613" s="582"/>
      <c r="AB613" s="260"/>
      <c r="AC613" s="582"/>
      <c r="AD613" s="582"/>
      <c r="AE613" s="582"/>
      <c r="AI613" s="260"/>
    </row>
    <row r="614" spans="15:35">
      <c r="O614" s="259"/>
      <c r="P614" s="582"/>
      <c r="Q614" s="582"/>
      <c r="R614" s="582"/>
      <c r="S614" s="582"/>
      <c r="T614" s="582"/>
      <c r="U614" s="582"/>
      <c r="V614" s="582"/>
      <c r="W614" s="582"/>
      <c r="X614" s="582"/>
      <c r="Y614" s="582"/>
      <c r="Z614" s="582"/>
      <c r="AA614" s="582"/>
      <c r="AB614" s="260"/>
      <c r="AC614" s="582"/>
      <c r="AD614" s="582"/>
      <c r="AE614" s="582"/>
      <c r="AI614" s="260"/>
    </row>
    <row r="615" spans="15:35">
      <c r="O615" s="259"/>
      <c r="P615" s="582"/>
      <c r="Q615" s="582"/>
      <c r="R615" s="582"/>
      <c r="S615" s="582"/>
      <c r="T615" s="582"/>
      <c r="U615" s="582"/>
      <c r="V615" s="582"/>
      <c r="W615" s="582"/>
      <c r="X615" s="582"/>
      <c r="Y615" s="582"/>
      <c r="Z615" s="582"/>
      <c r="AA615" s="582"/>
      <c r="AB615" s="260"/>
      <c r="AC615" s="582"/>
      <c r="AD615" s="582"/>
      <c r="AE615" s="582"/>
      <c r="AI615" s="260"/>
    </row>
    <row r="616" spans="15:35">
      <c r="O616" s="259"/>
      <c r="P616" s="582"/>
      <c r="Q616" s="582"/>
      <c r="R616" s="582"/>
      <c r="S616" s="582"/>
      <c r="T616" s="582"/>
      <c r="U616" s="582"/>
      <c r="V616" s="582"/>
      <c r="W616" s="582"/>
      <c r="X616" s="582"/>
      <c r="Y616" s="582"/>
      <c r="Z616" s="582"/>
      <c r="AA616" s="582"/>
      <c r="AB616" s="260"/>
      <c r="AC616" s="582"/>
      <c r="AD616" s="582"/>
      <c r="AE616" s="582"/>
      <c r="AI616" s="260"/>
    </row>
    <row r="617" spans="15:35">
      <c r="O617" s="259"/>
      <c r="P617" s="582"/>
      <c r="Q617" s="582"/>
      <c r="R617" s="582"/>
      <c r="S617" s="582"/>
      <c r="T617" s="582"/>
      <c r="U617" s="582"/>
      <c r="V617" s="582"/>
      <c r="W617" s="582"/>
      <c r="X617" s="582"/>
      <c r="Y617" s="582"/>
      <c r="Z617" s="582"/>
      <c r="AA617" s="582"/>
      <c r="AB617" s="260"/>
      <c r="AC617" s="582"/>
      <c r="AD617" s="582"/>
      <c r="AE617" s="582"/>
      <c r="AI617" s="260"/>
    </row>
    <row r="618" spans="15:35">
      <c r="O618" s="259"/>
      <c r="P618" s="582"/>
      <c r="Q618" s="582"/>
      <c r="R618" s="582"/>
      <c r="S618" s="582"/>
      <c r="T618" s="582"/>
      <c r="U618" s="582"/>
      <c r="V618" s="582"/>
      <c r="W618" s="582"/>
      <c r="X618" s="582"/>
      <c r="Y618" s="582"/>
      <c r="Z618" s="582"/>
      <c r="AA618" s="582"/>
      <c r="AB618" s="260"/>
      <c r="AC618" s="582"/>
      <c r="AD618" s="582"/>
      <c r="AE618" s="582"/>
      <c r="AI618" s="260"/>
    </row>
    <row r="619" spans="15:35">
      <c r="O619" s="259"/>
      <c r="P619" s="582"/>
      <c r="Q619" s="582"/>
      <c r="R619" s="582"/>
      <c r="S619" s="582"/>
      <c r="T619" s="582"/>
      <c r="U619" s="582"/>
      <c r="V619" s="582"/>
      <c r="W619" s="582"/>
      <c r="X619" s="582"/>
      <c r="Y619" s="582"/>
      <c r="Z619" s="582"/>
      <c r="AA619" s="582"/>
      <c r="AB619" s="260"/>
      <c r="AC619" s="582"/>
      <c r="AD619" s="582"/>
      <c r="AE619" s="582"/>
      <c r="AI619" s="260"/>
    </row>
    <row r="620" spans="15:35">
      <c r="O620" s="259"/>
      <c r="P620" s="582"/>
      <c r="Q620" s="582"/>
      <c r="R620" s="582"/>
      <c r="S620" s="582"/>
      <c r="T620" s="582"/>
      <c r="U620" s="582"/>
      <c r="V620" s="582"/>
      <c r="W620" s="582"/>
      <c r="X620" s="582"/>
      <c r="Y620" s="582"/>
      <c r="Z620" s="582"/>
      <c r="AA620" s="582"/>
      <c r="AB620" s="260"/>
      <c r="AC620" s="582"/>
      <c r="AD620" s="582"/>
      <c r="AE620" s="582"/>
      <c r="AI620" s="260"/>
    </row>
    <row r="621" spans="15:35">
      <c r="O621" s="259"/>
      <c r="P621" s="582"/>
      <c r="Q621" s="582"/>
      <c r="R621" s="582"/>
      <c r="S621" s="582"/>
      <c r="T621" s="582"/>
      <c r="U621" s="582"/>
      <c r="V621" s="582"/>
      <c r="W621" s="582"/>
      <c r="X621" s="582"/>
      <c r="Y621" s="582"/>
      <c r="Z621" s="582"/>
      <c r="AA621" s="582"/>
      <c r="AB621" s="260"/>
      <c r="AC621" s="582"/>
      <c r="AD621" s="582"/>
      <c r="AE621" s="582"/>
      <c r="AI621" s="260"/>
    </row>
    <row r="622" spans="15:35">
      <c r="O622" s="259"/>
      <c r="P622" s="582"/>
      <c r="Q622" s="582"/>
      <c r="R622" s="582"/>
      <c r="S622" s="582"/>
      <c r="T622" s="582"/>
      <c r="U622" s="582"/>
      <c r="V622" s="582"/>
      <c r="W622" s="582"/>
      <c r="X622" s="582"/>
      <c r="Y622" s="582"/>
      <c r="Z622" s="582"/>
      <c r="AA622" s="582"/>
      <c r="AB622" s="260"/>
      <c r="AC622" s="582"/>
      <c r="AD622" s="582"/>
      <c r="AE622" s="582"/>
      <c r="AI622" s="260"/>
    </row>
    <row r="623" spans="15:35">
      <c r="O623" s="259"/>
      <c r="P623" s="582"/>
      <c r="Q623" s="582"/>
      <c r="R623" s="582"/>
      <c r="S623" s="582"/>
      <c r="T623" s="582"/>
      <c r="U623" s="582"/>
      <c r="V623" s="582"/>
      <c r="W623" s="582"/>
      <c r="X623" s="582"/>
      <c r="Y623" s="582"/>
      <c r="Z623" s="582"/>
      <c r="AA623" s="582"/>
      <c r="AB623" s="260"/>
      <c r="AC623" s="582"/>
      <c r="AD623" s="582"/>
      <c r="AE623" s="582"/>
      <c r="AI623" s="260"/>
    </row>
    <row r="624" spans="15:35">
      <c r="O624" s="259"/>
      <c r="P624" s="582"/>
      <c r="Q624" s="582"/>
      <c r="R624" s="582"/>
      <c r="S624" s="582"/>
      <c r="T624" s="582"/>
      <c r="U624" s="582"/>
      <c r="V624" s="582"/>
      <c r="W624" s="582"/>
      <c r="X624" s="582"/>
      <c r="Y624" s="582"/>
      <c r="Z624" s="582"/>
      <c r="AA624" s="582"/>
      <c r="AB624" s="260"/>
      <c r="AC624" s="582"/>
      <c r="AD624" s="582"/>
      <c r="AE624" s="582"/>
      <c r="AI624" s="260"/>
    </row>
    <row r="625" spans="15:35">
      <c r="O625" s="259"/>
      <c r="P625" s="582"/>
      <c r="Q625" s="582"/>
      <c r="R625" s="582"/>
      <c r="S625" s="582"/>
      <c r="T625" s="582"/>
      <c r="U625" s="582"/>
      <c r="V625" s="582"/>
      <c r="W625" s="582"/>
      <c r="X625" s="582"/>
      <c r="Y625" s="582"/>
      <c r="Z625" s="582"/>
      <c r="AA625" s="582"/>
      <c r="AB625" s="260"/>
      <c r="AC625" s="582"/>
      <c r="AD625" s="582"/>
      <c r="AE625" s="582"/>
      <c r="AI625" s="260"/>
    </row>
    <row r="626" spans="15:35">
      <c r="O626" s="259"/>
      <c r="P626" s="582"/>
      <c r="Q626" s="582"/>
      <c r="R626" s="582"/>
      <c r="S626" s="582"/>
      <c r="T626" s="582"/>
      <c r="U626" s="582"/>
      <c r="V626" s="582"/>
      <c r="W626" s="582"/>
      <c r="X626" s="582"/>
      <c r="Y626" s="582"/>
      <c r="Z626" s="582"/>
      <c r="AA626" s="582"/>
      <c r="AB626" s="260"/>
      <c r="AC626" s="582"/>
      <c r="AD626" s="582"/>
      <c r="AE626" s="582"/>
      <c r="AI626" s="260"/>
    </row>
    <row r="627" spans="15:35">
      <c r="O627" s="259"/>
      <c r="P627" s="582"/>
      <c r="Q627" s="582"/>
      <c r="R627" s="582"/>
      <c r="S627" s="582"/>
      <c r="T627" s="582"/>
      <c r="U627" s="582"/>
      <c r="V627" s="582"/>
      <c r="W627" s="582"/>
      <c r="X627" s="582"/>
      <c r="Y627" s="582"/>
      <c r="Z627" s="582"/>
      <c r="AA627" s="582"/>
      <c r="AB627" s="260"/>
      <c r="AC627" s="582"/>
      <c r="AD627" s="582"/>
      <c r="AE627" s="582"/>
      <c r="AI627" s="260"/>
    </row>
    <row r="628" spans="15:35">
      <c r="O628" s="259"/>
      <c r="P628" s="582"/>
      <c r="Q628" s="582"/>
      <c r="R628" s="582"/>
      <c r="S628" s="582"/>
      <c r="T628" s="582"/>
      <c r="U628" s="582"/>
      <c r="V628" s="582"/>
      <c r="W628" s="582"/>
      <c r="X628" s="582"/>
      <c r="Y628" s="582"/>
      <c r="Z628" s="582"/>
      <c r="AA628" s="582"/>
      <c r="AB628" s="260"/>
      <c r="AC628" s="582"/>
      <c r="AD628" s="582"/>
      <c r="AE628" s="582"/>
      <c r="AI628" s="260"/>
    </row>
    <row r="629" spans="15:35">
      <c r="O629" s="259"/>
      <c r="P629" s="582"/>
      <c r="Q629" s="582"/>
      <c r="R629" s="582"/>
      <c r="S629" s="582"/>
      <c r="T629" s="582"/>
      <c r="U629" s="582"/>
      <c r="V629" s="582"/>
      <c r="W629" s="582"/>
      <c r="X629" s="582"/>
      <c r="Y629" s="582"/>
      <c r="Z629" s="582"/>
      <c r="AA629" s="582"/>
      <c r="AB629" s="260"/>
      <c r="AC629" s="582"/>
      <c r="AD629" s="582"/>
      <c r="AE629" s="582"/>
      <c r="AI629" s="260"/>
    </row>
    <row r="630" spans="15:35">
      <c r="O630" s="259"/>
      <c r="P630" s="582"/>
      <c r="Q630" s="582"/>
      <c r="R630" s="582"/>
      <c r="S630" s="582"/>
      <c r="T630" s="582"/>
      <c r="U630" s="582"/>
      <c r="V630" s="582"/>
      <c r="W630" s="582"/>
      <c r="X630" s="582"/>
      <c r="Y630" s="582"/>
      <c r="Z630" s="582"/>
      <c r="AA630" s="582"/>
      <c r="AB630" s="260"/>
      <c r="AC630" s="582"/>
      <c r="AD630" s="582"/>
      <c r="AE630" s="582"/>
      <c r="AI630" s="260"/>
    </row>
    <row r="631" spans="15:35">
      <c r="O631" s="259"/>
      <c r="P631" s="582"/>
      <c r="Q631" s="582"/>
      <c r="R631" s="582"/>
      <c r="S631" s="582"/>
      <c r="T631" s="582"/>
      <c r="U631" s="582"/>
      <c r="V631" s="582"/>
      <c r="W631" s="582"/>
      <c r="X631" s="582"/>
      <c r="Y631" s="582"/>
      <c r="Z631" s="582"/>
      <c r="AA631" s="582"/>
      <c r="AB631" s="260"/>
      <c r="AC631" s="582"/>
      <c r="AD631" s="582"/>
      <c r="AE631" s="582"/>
      <c r="AI631" s="260"/>
    </row>
    <row r="632" spans="15:35">
      <c r="O632" s="259"/>
      <c r="P632" s="582"/>
      <c r="Q632" s="582"/>
      <c r="R632" s="582"/>
      <c r="S632" s="582"/>
      <c r="T632" s="582"/>
      <c r="U632" s="582"/>
      <c r="V632" s="582"/>
      <c r="W632" s="582"/>
      <c r="X632" s="582"/>
      <c r="Y632" s="582"/>
      <c r="Z632" s="582"/>
      <c r="AA632" s="582"/>
      <c r="AB632" s="260"/>
      <c r="AC632" s="582"/>
      <c r="AD632" s="582"/>
      <c r="AE632" s="582"/>
      <c r="AI632" s="260"/>
    </row>
    <row r="633" spans="15:35">
      <c r="O633" s="259"/>
      <c r="P633" s="582"/>
      <c r="Q633" s="582"/>
      <c r="R633" s="582"/>
      <c r="S633" s="582"/>
      <c r="T633" s="582"/>
      <c r="U633" s="582"/>
      <c r="V633" s="582"/>
      <c r="W633" s="582"/>
      <c r="X633" s="582"/>
      <c r="Y633" s="582"/>
      <c r="Z633" s="582"/>
      <c r="AA633" s="582"/>
      <c r="AB633" s="260"/>
      <c r="AC633" s="582"/>
      <c r="AD633" s="582"/>
      <c r="AE633" s="582"/>
      <c r="AI633" s="260"/>
    </row>
    <row r="634" spans="15:35">
      <c r="O634" s="259"/>
      <c r="P634" s="582"/>
      <c r="Q634" s="582"/>
      <c r="R634" s="582"/>
      <c r="S634" s="582"/>
      <c r="T634" s="582"/>
      <c r="U634" s="582"/>
      <c r="V634" s="582"/>
      <c r="W634" s="582"/>
      <c r="X634" s="582"/>
      <c r="Y634" s="582"/>
      <c r="Z634" s="582"/>
      <c r="AA634" s="582"/>
      <c r="AB634" s="260"/>
      <c r="AC634" s="582"/>
      <c r="AD634" s="582"/>
      <c r="AE634" s="582"/>
      <c r="AI634" s="260"/>
    </row>
    <row r="635" spans="15:35">
      <c r="O635" s="259"/>
      <c r="P635" s="582"/>
      <c r="Q635" s="582"/>
      <c r="R635" s="582"/>
      <c r="S635" s="582"/>
      <c r="T635" s="582"/>
      <c r="U635" s="582"/>
      <c r="V635" s="582"/>
      <c r="W635" s="582"/>
      <c r="X635" s="582"/>
      <c r="Y635" s="582"/>
      <c r="Z635" s="582"/>
      <c r="AA635" s="582"/>
      <c r="AB635" s="260"/>
      <c r="AC635" s="582"/>
      <c r="AD635" s="582"/>
      <c r="AE635" s="582"/>
      <c r="AI635" s="260"/>
    </row>
    <row r="636" spans="15:35">
      <c r="O636" s="259"/>
      <c r="P636" s="582"/>
      <c r="Q636" s="582"/>
      <c r="R636" s="582"/>
      <c r="S636" s="582"/>
      <c r="T636" s="582"/>
      <c r="U636" s="582"/>
      <c r="V636" s="582"/>
      <c r="W636" s="582"/>
      <c r="X636" s="582"/>
      <c r="Y636" s="582"/>
      <c r="Z636" s="582"/>
      <c r="AA636" s="582"/>
      <c r="AB636" s="260"/>
      <c r="AC636" s="582"/>
      <c r="AD636" s="582"/>
      <c r="AE636" s="582"/>
      <c r="AI636" s="260"/>
    </row>
    <row r="637" spans="15:35">
      <c r="O637" s="259"/>
      <c r="P637" s="582"/>
      <c r="Q637" s="582"/>
      <c r="R637" s="582"/>
      <c r="S637" s="582"/>
      <c r="T637" s="582"/>
      <c r="U637" s="582"/>
      <c r="V637" s="582"/>
      <c r="W637" s="582"/>
      <c r="X637" s="582"/>
      <c r="Y637" s="582"/>
      <c r="Z637" s="582"/>
      <c r="AA637" s="582"/>
      <c r="AB637" s="260"/>
      <c r="AC637" s="582"/>
      <c r="AD637" s="582"/>
      <c r="AE637" s="582"/>
      <c r="AI637" s="260"/>
    </row>
    <row r="638" spans="15:35">
      <c r="O638" s="259"/>
      <c r="P638" s="582"/>
      <c r="Q638" s="582"/>
      <c r="R638" s="582"/>
      <c r="S638" s="582"/>
      <c r="T638" s="582"/>
      <c r="U638" s="582"/>
      <c r="V638" s="582"/>
      <c r="W638" s="582"/>
      <c r="X638" s="582"/>
      <c r="Y638" s="582"/>
      <c r="Z638" s="582"/>
      <c r="AA638" s="582"/>
      <c r="AB638" s="260"/>
      <c r="AC638" s="582"/>
      <c r="AD638" s="582"/>
      <c r="AE638" s="582"/>
      <c r="AI638" s="260"/>
    </row>
    <row r="639" spans="15:35">
      <c r="O639" s="259"/>
      <c r="P639" s="582"/>
      <c r="Q639" s="582"/>
      <c r="R639" s="582"/>
      <c r="S639" s="582"/>
      <c r="T639" s="582"/>
      <c r="U639" s="582"/>
      <c r="V639" s="582"/>
      <c r="W639" s="582"/>
      <c r="X639" s="582"/>
      <c r="Y639" s="582"/>
      <c r="Z639" s="582"/>
      <c r="AA639" s="582"/>
      <c r="AB639" s="260"/>
      <c r="AC639" s="582"/>
      <c r="AD639" s="582"/>
      <c r="AE639" s="582"/>
      <c r="AI639" s="260"/>
    </row>
    <row r="640" spans="15:35">
      <c r="O640" s="259"/>
      <c r="P640" s="582"/>
      <c r="Q640" s="582"/>
      <c r="R640" s="582"/>
      <c r="S640" s="582"/>
      <c r="T640" s="582"/>
      <c r="U640" s="582"/>
      <c r="V640" s="582"/>
      <c r="W640" s="582"/>
      <c r="X640" s="582"/>
      <c r="Y640" s="582"/>
      <c r="Z640" s="582"/>
      <c r="AA640" s="582"/>
      <c r="AB640" s="260"/>
      <c r="AC640" s="582"/>
      <c r="AD640" s="582"/>
      <c r="AE640" s="582"/>
      <c r="AI640" s="260"/>
    </row>
    <row r="641" spans="15:35">
      <c r="O641" s="259"/>
      <c r="P641" s="582"/>
      <c r="Q641" s="582"/>
      <c r="R641" s="582"/>
      <c r="S641" s="582"/>
      <c r="T641" s="582"/>
      <c r="U641" s="582"/>
      <c r="V641" s="582"/>
      <c r="W641" s="582"/>
      <c r="X641" s="582"/>
      <c r="Y641" s="582"/>
      <c r="Z641" s="582"/>
      <c r="AA641" s="582"/>
      <c r="AB641" s="260"/>
      <c r="AC641" s="582"/>
      <c r="AD641" s="582"/>
      <c r="AE641" s="582"/>
      <c r="AI641" s="260"/>
    </row>
    <row r="642" spans="15:35">
      <c r="O642" s="259"/>
      <c r="P642" s="582"/>
      <c r="Q642" s="582"/>
      <c r="R642" s="582"/>
      <c r="S642" s="582"/>
      <c r="T642" s="582"/>
      <c r="U642" s="582"/>
      <c r="V642" s="582"/>
      <c r="W642" s="582"/>
      <c r="X642" s="582"/>
      <c r="Y642" s="582"/>
      <c r="Z642" s="582"/>
      <c r="AA642" s="582"/>
      <c r="AB642" s="260"/>
      <c r="AC642" s="582"/>
      <c r="AD642" s="582"/>
      <c r="AE642" s="582"/>
      <c r="AI642" s="260"/>
    </row>
    <row r="643" spans="15:35">
      <c r="O643" s="259"/>
      <c r="P643" s="582"/>
      <c r="Q643" s="582"/>
      <c r="R643" s="582"/>
      <c r="S643" s="582"/>
      <c r="T643" s="582"/>
      <c r="U643" s="582"/>
      <c r="V643" s="582"/>
      <c r="W643" s="582"/>
      <c r="X643" s="582"/>
      <c r="Y643" s="582"/>
      <c r="Z643" s="582"/>
      <c r="AA643" s="582"/>
      <c r="AB643" s="260"/>
      <c r="AC643" s="582"/>
      <c r="AD643" s="582"/>
      <c r="AE643" s="582"/>
      <c r="AI643" s="260"/>
    </row>
    <row r="644" spans="15:35">
      <c r="O644" s="259"/>
      <c r="P644" s="582"/>
      <c r="Q644" s="582"/>
      <c r="R644" s="582"/>
      <c r="S644" s="582"/>
      <c r="T644" s="582"/>
      <c r="U644" s="582"/>
      <c r="V644" s="582"/>
      <c r="W644" s="582"/>
      <c r="X644" s="582"/>
      <c r="Y644" s="582"/>
      <c r="Z644" s="582"/>
      <c r="AA644" s="582"/>
      <c r="AB644" s="260"/>
      <c r="AC644" s="582"/>
      <c r="AD644" s="582"/>
      <c r="AE644" s="582"/>
      <c r="AI644" s="260"/>
    </row>
    <row r="645" spans="15:35">
      <c r="O645" s="259"/>
      <c r="P645" s="582"/>
      <c r="Q645" s="582"/>
      <c r="R645" s="582"/>
      <c r="S645" s="582"/>
      <c r="T645" s="582"/>
      <c r="U645" s="582"/>
      <c r="V645" s="582"/>
      <c r="W645" s="582"/>
      <c r="X645" s="582"/>
      <c r="Y645" s="582"/>
      <c r="Z645" s="582"/>
      <c r="AA645" s="582"/>
      <c r="AB645" s="260"/>
      <c r="AC645" s="582"/>
      <c r="AD645" s="582"/>
      <c r="AE645" s="582"/>
      <c r="AI645" s="260"/>
    </row>
    <row r="646" spans="15:35">
      <c r="O646" s="259"/>
      <c r="P646" s="582"/>
      <c r="Q646" s="582"/>
      <c r="R646" s="582"/>
      <c r="S646" s="582"/>
      <c r="T646" s="582"/>
      <c r="U646" s="582"/>
      <c r="V646" s="582"/>
      <c r="W646" s="582"/>
      <c r="X646" s="582"/>
      <c r="Y646" s="582"/>
      <c r="Z646" s="582"/>
      <c r="AA646" s="582"/>
      <c r="AB646" s="260"/>
      <c r="AC646" s="582"/>
      <c r="AD646" s="582"/>
      <c r="AE646" s="582"/>
      <c r="AI646" s="260"/>
    </row>
    <row r="647" spans="15:35">
      <c r="O647" s="259"/>
      <c r="P647" s="582"/>
      <c r="Q647" s="582"/>
      <c r="R647" s="582"/>
      <c r="S647" s="582"/>
      <c r="T647" s="582"/>
      <c r="U647" s="582"/>
      <c r="V647" s="582"/>
      <c r="W647" s="582"/>
      <c r="X647" s="582"/>
      <c r="Y647" s="582"/>
      <c r="Z647" s="582"/>
      <c r="AA647" s="582"/>
      <c r="AB647" s="260"/>
      <c r="AC647" s="582"/>
      <c r="AD647" s="582"/>
      <c r="AE647" s="582"/>
      <c r="AI647" s="260"/>
    </row>
    <row r="648" spans="15:35">
      <c r="O648" s="259"/>
      <c r="P648" s="582"/>
      <c r="Q648" s="582"/>
      <c r="R648" s="582"/>
      <c r="S648" s="582"/>
      <c r="T648" s="582"/>
      <c r="U648" s="582"/>
      <c r="V648" s="582"/>
      <c r="W648" s="582"/>
      <c r="X648" s="582"/>
      <c r="Y648" s="582"/>
      <c r="Z648" s="582"/>
      <c r="AA648" s="582"/>
      <c r="AB648" s="260"/>
      <c r="AC648" s="582"/>
      <c r="AD648" s="582"/>
      <c r="AE648" s="582"/>
      <c r="AI648" s="260"/>
    </row>
    <row r="649" spans="15:35">
      <c r="O649" s="259"/>
      <c r="P649" s="582"/>
      <c r="Q649" s="582"/>
      <c r="R649" s="582"/>
      <c r="S649" s="582"/>
      <c r="T649" s="582"/>
      <c r="U649" s="582"/>
      <c r="V649" s="582"/>
      <c r="W649" s="582"/>
      <c r="X649" s="582"/>
      <c r="Y649" s="582"/>
      <c r="Z649" s="582"/>
      <c r="AA649" s="582"/>
      <c r="AB649" s="260"/>
      <c r="AC649" s="582"/>
      <c r="AD649" s="582"/>
      <c r="AE649" s="582"/>
      <c r="AI649" s="260"/>
    </row>
    <row r="650" spans="15:35">
      <c r="O650" s="259"/>
      <c r="P650" s="582"/>
      <c r="Q650" s="582"/>
      <c r="R650" s="582"/>
      <c r="S650" s="582"/>
      <c r="T650" s="582"/>
      <c r="U650" s="582"/>
      <c r="V650" s="582"/>
      <c r="W650" s="582"/>
      <c r="X650" s="582"/>
      <c r="Y650" s="582"/>
      <c r="Z650" s="582"/>
      <c r="AA650" s="582"/>
      <c r="AB650" s="260"/>
      <c r="AC650" s="582"/>
      <c r="AD650" s="582"/>
      <c r="AE650" s="582"/>
      <c r="AI650" s="260"/>
    </row>
    <row r="651" spans="15:35">
      <c r="O651" s="259"/>
      <c r="P651" s="582"/>
      <c r="Q651" s="582"/>
      <c r="R651" s="582"/>
      <c r="S651" s="582"/>
      <c r="T651" s="582"/>
      <c r="U651" s="582"/>
      <c r="V651" s="582"/>
      <c r="W651" s="582"/>
      <c r="X651" s="582"/>
      <c r="Y651" s="582"/>
      <c r="Z651" s="582"/>
      <c r="AA651" s="582"/>
      <c r="AB651" s="260"/>
      <c r="AC651" s="582"/>
      <c r="AD651" s="582"/>
      <c r="AE651" s="582"/>
      <c r="AI651" s="260"/>
    </row>
    <row r="652" spans="15:35">
      <c r="O652" s="259"/>
      <c r="P652" s="582"/>
      <c r="Q652" s="582"/>
      <c r="R652" s="582"/>
      <c r="S652" s="582"/>
      <c r="T652" s="582"/>
      <c r="U652" s="582"/>
      <c r="V652" s="582"/>
      <c r="W652" s="582"/>
      <c r="X652" s="582"/>
      <c r="Y652" s="582"/>
      <c r="Z652" s="582"/>
      <c r="AA652" s="582"/>
      <c r="AB652" s="260"/>
      <c r="AC652" s="582"/>
      <c r="AD652" s="582"/>
      <c r="AE652" s="582"/>
      <c r="AI652" s="260"/>
    </row>
    <row r="653" spans="15:35">
      <c r="O653" s="259"/>
      <c r="P653" s="582"/>
      <c r="Q653" s="582"/>
      <c r="R653" s="582"/>
      <c r="S653" s="582"/>
      <c r="T653" s="582"/>
      <c r="U653" s="582"/>
      <c r="V653" s="582"/>
      <c r="W653" s="582"/>
      <c r="X653" s="582"/>
      <c r="Y653" s="582"/>
      <c r="Z653" s="582"/>
      <c r="AA653" s="582"/>
      <c r="AB653" s="260"/>
      <c r="AC653" s="582"/>
      <c r="AD653" s="582"/>
      <c r="AE653" s="582"/>
      <c r="AI653" s="260"/>
    </row>
    <row r="654" spans="15:35">
      <c r="O654" s="259"/>
      <c r="P654" s="582"/>
      <c r="Q654" s="582"/>
      <c r="R654" s="582"/>
      <c r="S654" s="582"/>
      <c r="T654" s="582"/>
      <c r="U654" s="582"/>
      <c r="V654" s="582"/>
      <c r="W654" s="582"/>
      <c r="X654" s="582"/>
      <c r="Y654" s="582"/>
      <c r="Z654" s="582"/>
      <c r="AA654" s="582"/>
      <c r="AB654" s="260"/>
      <c r="AC654" s="582"/>
      <c r="AD654" s="582"/>
      <c r="AE654" s="582"/>
      <c r="AI654" s="260"/>
    </row>
    <row r="655" spans="15:35">
      <c r="O655" s="259"/>
      <c r="P655" s="582"/>
      <c r="Q655" s="582"/>
      <c r="R655" s="582"/>
      <c r="S655" s="582"/>
      <c r="T655" s="582"/>
      <c r="U655" s="582"/>
      <c r="V655" s="582"/>
      <c r="W655" s="582"/>
      <c r="X655" s="582"/>
      <c r="Y655" s="582"/>
      <c r="Z655" s="582"/>
      <c r="AA655" s="582"/>
      <c r="AB655" s="260"/>
      <c r="AC655" s="582"/>
      <c r="AD655" s="582"/>
      <c r="AE655" s="582"/>
      <c r="AI655" s="260"/>
    </row>
    <row r="656" spans="15:35">
      <c r="O656" s="259"/>
      <c r="P656" s="582"/>
      <c r="Q656" s="582"/>
      <c r="R656" s="582"/>
      <c r="S656" s="582"/>
      <c r="T656" s="582"/>
      <c r="U656" s="582"/>
      <c r="V656" s="582"/>
      <c r="W656" s="582"/>
      <c r="X656" s="582"/>
      <c r="Y656" s="582"/>
      <c r="Z656" s="582"/>
      <c r="AA656" s="582"/>
      <c r="AB656" s="260"/>
      <c r="AC656" s="582"/>
      <c r="AD656" s="582"/>
      <c r="AE656" s="582"/>
      <c r="AI656" s="260"/>
    </row>
    <row r="657" spans="15:35">
      <c r="O657" s="259"/>
      <c r="P657" s="582"/>
      <c r="Q657" s="582"/>
      <c r="R657" s="582"/>
      <c r="S657" s="582"/>
      <c r="T657" s="582"/>
      <c r="U657" s="582"/>
      <c r="V657" s="582"/>
      <c r="W657" s="582"/>
      <c r="X657" s="582"/>
      <c r="Y657" s="582"/>
      <c r="Z657" s="582"/>
      <c r="AA657" s="582"/>
      <c r="AB657" s="260"/>
      <c r="AC657" s="582"/>
      <c r="AD657" s="582"/>
      <c r="AE657" s="582"/>
      <c r="AI657" s="260"/>
    </row>
    <row r="658" spans="15:35">
      <c r="O658" s="259"/>
      <c r="P658" s="582"/>
      <c r="Q658" s="582"/>
      <c r="R658" s="582"/>
      <c r="S658" s="582"/>
      <c r="T658" s="582"/>
      <c r="U658" s="582"/>
      <c r="V658" s="582"/>
      <c r="W658" s="582"/>
      <c r="X658" s="582"/>
      <c r="Y658" s="582"/>
      <c r="Z658" s="582"/>
      <c r="AA658" s="582"/>
      <c r="AB658" s="260"/>
      <c r="AC658" s="582"/>
      <c r="AD658" s="582"/>
      <c r="AE658" s="582"/>
      <c r="AI658" s="260"/>
    </row>
    <row r="659" spans="15:35">
      <c r="O659" s="259"/>
      <c r="P659" s="582"/>
      <c r="Q659" s="582"/>
      <c r="R659" s="582"/>
      <c r="S659" s="582"/>
      <c r="T659" s="582"/>
      <c r="U659" s="582"/>
      <c r="V659" s="582"/>
      <c r="W659" s="582"/>
      <c r="X659" s="582"/>
      <c r="Y659" s="582"/>
      <c r="Z659" s="582"/>
      <c r="AA659" s="582"/>
      <c r="AB659" s="260"/>
      <c r="AC659" s="582"/>
      <c r="AD659" s="582"/>
      <c r="AE659" s="582"/>
      <c r="AI659" s="260"/>
    </row>
    <row r="660" spans="15:35">
      <c r="O660" s="259"/>
      <c r="P660" s="582"/>
      <c r="Q660" s="582"/>
      <c r="R660" s="582"/>
      <c r="S660" s="582"/>
      <c r="T660" s="582"/>
      <c r="U660" s="582"/>
      <c r="V660" s="582"/>
      <c r="W660" s="582"/>
      <c r="X660" s="582"/>
      <c r="Y660" s="582"/>
      <c r="Z660" s="582"/>
      <c r="AA660" s="582"/>
      <c r="AB660" s="260"/>
      <c r="AC660" s="582"/>
      <c r="AD660" s="582"/>
      <c r="AE660" s="582"/>
      <c r="AI660" s="260"/>
    </row>
    <row r="661" spans="15:35">
      <c r="O661" s="259"/>
      <c r="P661" s="582"/>
      <c r="Q661" s="582"/>
      <c r="R661" s="582"/>
      <c r="S661" s="582"/>
      <c r="T661" s="582"/>
      <c r="U661" s="582"/>
      <c r="V661" s="582"/>
      <c r="W661" s="582"/>
      <c r="X661" s="582"/>
      <c r="Y661" s="582"/>
      <c r="Z661" s="582"/>
      <c r="AA661" s="582"/>
      <c r="AB661" s="260"/>
      <c r="AC661" s="582"/>
      <c r="AD661" s="582"/>
      <c r="AE661" s="582"/>
      <c r="AI661" s="260"/>
    </row>
    <row r="662" spans="15:35">
      <c r="O662" s="259"/>
      <c r="P662" s="582"/>
      <c r="Q662" s="582"/>
      <c r="R662" s="582"/>
      <c r="S662" s="582"/>
      <c r="T662" s="582"/>
      <c r="U662" s="582"/>
      <c r="V662" s="582"/>
      <c r="W662" s="582"/>
      <c r="X662" s="582"/>
      <c r="Y662" s="582"/>
      <c r="Z662" s="582"/>
      <c r="AA662" s="582"/>
      <c r="AB662" s="260"/>
      <c r="AC662" s="582"/>
      <c r="AD662" s="582"/>
      <c r="AE662" s="582"/>
      <c r="AI662" s="260"/>
    </row>
    <row r="663" spans="15:35">
      <c r="O663" s="259"/>
      <c r="P663" s="582"/>
      <c r="Q663" s="582"/>
      <c r="R663" s="582"/>
      <c r="S663" s="582"/>
      <c r="T663" s="582"/>
      <c r="U663" s="582"/>
      <c r="V663" s="582"/>
      <c r="W663" s="582"/>
      <c r="X663" s="582"/>
      <c r="Y663" s="582"/>
      <c r="Z663" s="582"/>
      <c r="AA663" s="582"/>
      <c r="AB663" s="260"/>
      <c r="AC663" s="582"/>
      <c r="AD663" s="582"/>
      <c r="AE663" s="582"/>
      <c r="AI663" s="260"/>
    </row>
    <row r="664" spans="15:35">
      <c r="O664" s="259"/>
      <c r="P664" s="582"/>
      <c r="Q664" s="582"/>
      <c r="R664" s="582"/>
      <c r="S664" s="582"/>
      <c r="T664" s="582"/>
      <c r="U664" s="582"/>
      <c r="V664" s="582"/>
      <c r="W664" s="582"/>
      <c r="X664" s="582"/>
      <c r="Y664" s="582"/>
      <c r="Z664" s="582"/>
      <c r="AA664" s="582"/>
      <c r="AB664" s="260"/>
      <c r="AC664" s="582"/>
      <c r="AD664" s="582"/>
      <c r="AE664" s="582"/>
      <c r="AI664" s="260"/>
    </row>
    <row r="665" spans="15:35">
      <c r="O665" s="259"/>
      <c r="P665" s="582"/>
      <c r="Q665" s="582"/>
      <c r="R665" s="582"/>
      <c r="S665" s="582"/>
      <c r="T665" s="582"/>
      <c r="U665" s="582"/>
      <c r="V665" s="582"/>
      <c r="W665" s="582"/>
      <c r="X665" s="582"/>
      <c r="Y665" s="582"/>
      <c r="Z665" s="582"/>
      <c r="AA665" s="582"/>
      <c r="AB665" s="260"/>
      <c r="AC665" s="582"/>
      <c r="AD665" s="582"/>
      <c r="AE665" s="582"/>
      <c r="AI665" s="260"/>
    </row>
    <row r="666" spans="15:35">
      <c r="O666" s="259"/>
      <c r="P666" s="582"/>
      <c r="Q666" s="582"/>
      <c r="R666" s="582"/>
      <c r="S666" s="582"/>
      <c r="T666" s="582"/>
      <c r="U666" s="582"/>
      <c r="V666" s="582"/>
      <c r="W666" s="582"/>
      <c r="X666" s="582"/>
      <c r="Y666" s="582"/>
      <c r="Z666" s="582"/>
      <c r="AA666" s="582"/>
      <c r="AB666" s="260"/>
      <c r="AC666" s="582"/>
      <c r="AD666" s="582"/>
      <c r="AE666" s="582"/>
      <c r="AI666" s="260"/>
    </row>
    <row r="667" spans="15:35">
      <c r="O667" s="259"/>
      <c r="P667" s="582"/>
      <c r="Q667" s="582"/>
      <c r="R667" s="582"/>
      <c r="S667" s="582"/>
      <c r="T667" s="582"/>
      <c r="U667" s="582"/>
      <c r="V667" s="582"/>
      <c r="W667" s="582"/>
      <c r="X667" s="582"/>
      <c r="Y667" s="582"/>
      <c r="Z667" s="582"/>
      <c r="AA667" s="582"/>
      <c r="AB667" s="260"/>
      <c r="AC667" s="582"/>
      <c r="AD667" s="582"/>
      <c r="AE667" s="582"/>
      <c r="AI667" s="260"/>
    </row>
    <row r="668" spans="15:35">
      <c r="O668" s="259"/>
      <c r="P668" s="582"/>
      <c r="Q668" s="582"/>
      <c r="R668" s="582"/>
      <c r="S668" s="582"/>
      <c r="T668" s="582"/>
      <c r="U668" s="582"/>
      <c r="V668" s="582"/>
      <c r="W668" s="582"/>
      <c r="X668" s="582"/>
      <c r="Y668" s="582"/>
      <c r="Z668" s="582"/>
      <c r="AA668" s="582"/>
      <c r="AB668" s="260"/>
      <c r="AC668" s="582"/>
      <c r="AD668" s="582"/>
      <c r="AE668" s="582"/>
      <c r="AI668" s="260"/>
    </row>
    <row r="669" spans="15:35">
      <c r="O669" s="259"/>
      <c r="P669" s="582"/>
      <c r="Q669" s="582"/>
      <c r="R669" s="582"/>
      <c r="S669" s="582"/>
      <c r="T669" s="582"/>
      <c r="U669" s="582"/>
      <c r="V669" s="582"/>
      <c r="W669" s="582"/>
      <c r="X669" s="582"/>
      <c r="Y669" s="582"/>
      <c r="Z669" s="582"/>
      <c r="AA669" s="582"/>
      <c r="AB669" s="260"/>
      <c r="AC669" s="582"/>
      <c r="AD669" s="582"/>
      <c r="AE669" s="582"/>
      <c r="AI669" s="260"/>
    </row>
    <row r="670" spans="15:35">
      <c r="O670" s="259"/>
      <c r="P670" s="582"/>
      <c r="Q670" s="582"/>
      <c r="R670" s="582"/>
      <c r="S670" s="582"/>
      <c r="T670" s="582"/>
      <c r="U670" s="582"/>
      <c r="V670" s="582"/>
      <c r="W670" s="582"/>
      <c r="X670" s="582"/>
      <c r="Y670" s="582"/>
      <c r="Z670" s="582"/>
      <c r="AA670" s="582"/>
      <c r="AB670" s="260"/>
      <c r="AC670" s="582"/>
      <c r="AD670" s="582"/>
      <c r="AE670" s="582"/>
      <c r="AI670" s="260"/>
    </row>
    <row r="671" spans="15:35">
      <c r="O671" s="259"/>
      <c r="P671" s="582"/>
      <c r="Q671" s="582"/>
      <c r="R671" s="582"/>
      <c r="S671" s="582"/>
      <c r="T671" s="582"/>
      <c r="U671" s="582"/>
      <c r="V671" s="582"/>
      <c r="W671" s="582"/>
      <c r="X671" s="582"/>
      <c r="Y671" s="582"/>
      <c r="Z671" s="582"/>
      <c r="AA671" s="582"/>
      <c r="AB671" s="260"/>
      <c r="AC671" s="582"/>
      <c r="AD671" s="582"/>
      <c r="AE671" s="582"/>
      <c r="AI671" s="260"/>
    </row>
    <row r="672" spans="15:35">
      <c r="O672" s="259"/>
      <c r="P672" s="582"/>
      <c r="Q672" s="582"/>
      <c r="R672" s="582"/>
      <c r="S672" s="582"/>
      <c r="T672" s="582"/>
      <c r="U672" s="582"/>
      <c r="V672" s="582"/>
      <c r="W672" s="582"/>
      <c r="X672" s="582"/>
      <c r="Y672" s="582"/>
      <c r="Z672" s="582"/>
      <c r="AA672" s="582"/>
      <c r="AB672" s="260"/>
      <c r="AC672" s="582"/>
      <c r="AD672" s="582"/>
      <c r="AE672" s="582"/>
      <c r="AI672" s="260"/>
    </row>
    <row r="673" spans="15:35">
      <c r="O673" s="259"/>
      <c r="P673" s="582"/>
      <c r="Q673" s="582"/>
      <c r="R673" s="582"/>
      <c r="S673" s="582"/>
      <c r="T673" s="582"/>
      <c r="U673" s="582"/>
      <c r="V673" s="582"/>
      <c r="W673" s="582"/>
      <c r="X673" s="582"/>
      <c r="Y673" s="582"/>
      <c r="Z673" s="582"/>
      <c r="AA673" s="582"/>
      <c r="AB673" s="260"/>
      <c r="AC673" s="582"/>
      <c r="AD673" s="582"/>
      <c r="AE673" s="582"/>
      <c r="AI673" s="260"/>
    </row>
    <row r="674" spans="15:35">
      <c r="O674" s="259"/>
      <c r="P674" s="582"/>
      <c r="Q674" s="582"/>
      <c r="R674" s="582"/>
      <c r="S674" s="582"/>
      <c r="T674" s="582"/>
      <c r="U674" s="582"/>
      <c r="V674" s="582"/>
      <c r="W674" s="582"/>
      <c r="X674" s="582"/>
      <c r="Y674" s="582"/>
      <c r="Z674" s="582"/>
      <c r="AA674" s="582"/>
      <c r="AB674" s="260"/>
      <c r="AC674" s="582"/>
      <c r="AD674" s="582"/>
      <c r="AE674" s="582"/>
      <c r="AI674" s="260"/>
    </row>
    <row r="675" spans="15:35">
      <c r="O675" s="259"/>
      <c r="P675" s="582"/>
      <c r="Q675" s="582"/>
      <c r="R675" s="582"/>
      <c r="S675" s="582"/>
      <c r="T675" s="582"/>
      <c r="U675" s="582"/>
      <c r="V675" s="582"/>
      <c r="W675" s="582"/>
      <c r="X675" s="582"/>
      <c r="Y675" s="582"/>
      <c r="Z675" s="582"/>
      <c r="AA675" s="582"/>
      <c r="AB675" s="260"/>
      <c r="AC675" s="582"/>
      <c r="AD675" s="582"/>
      <c r="AE675" s="582"/>
      <c r="AI675" s="260"/>
    </row>
    <row r="676" spans="15:35">
      <c r="O676" s="259"/>
      <c r="P676" s="582"/>
      <c r="Q676" s="582"/>
      <c r="R676" s="582"/>
      <c r="S676" s="582"/>
      <c r="T676" s="582"/>
      <c r="U676" s="582"/>
      <c r="V676" s="582"/>
      <c r="W676" s="582"/>
      <c r="X676" s="582"/>
      <c r="Y676" s="582"/>
      <c r="Z676" s="582"/>
      <c r="AA676" s="582"/>
      <c r="AB676" s="260"/>
      <c r="AC676" s="582"/>
      <c r="AD676" s="582"/>
      <c r="AE676" s="582"/>
      <c r="AI676" s="260"/>
    </row>
    <row r="677" spans="15:35">
      <c r="O677" s="259"/>
      <c r="P677" s="582"/>
      <c r="Q677" s="582"/>
      <c r="R677" s="582"/>
      <c r="S677" s="582"/>
      <c r="T677" s="582"/>
      <c r="U677" s="582"/>
      <c r="V677" s="582"/>
      <c r="W677" s="582"/>
      <c r="X677" s="582"/>
      <c r="Y677" s="582"/>
      <c r="Z677" s="582"/>
      <c r="AA677" s="582"/>
      <c r="AB677" s="260"/>
      <c r="AC677" s="582"/>
      <c r="AD677" s="582"/>
      <c r="AE677" s="582"/>
      <c r="AI677" s="260"/>
    </row>
    <row r="678" spans="15:35">
      <c r="O678" s="259"/>
      <c r="P678" s="582"/>
      <c r="Q678" s="582"/>
      <c r="R678" s="582"/>
      <c r="S678" s="582"/>
      <c r="T678" s="582"/>
      <c r="U678" s="582"/>
      <c r="V678" s="582"/>
      <c r="W678" s="582"/>
      <c r="X678" s="582"/>
      <c r="Y678" s="582"/>
      <c r="Z678" s="582"/>
      <c r="AA678" s="582"/>
      <c r="AB678" s="260"/>
      <c r="AC678" s="582"/>
      <c r="AD678" s="582"/>
      <c r="AE678" s="582"/>
      <c r="AI678" s="260"/>
    </row>
    <row r="679" spans="15:35">
      <c r="O679" s="259"/>
      <c r="P679" s="582"/>
      <c r="Q679" s="582"/>
      <c r="R679" s="582"/>
      <c r="S679" s="582"/>
      <c r="T679" s="582"/>
      <c r="U679" s="582"/>
      <c r="V679" s="582"/>
      <c r="W679" s="582"/>
      <c r="X679" s="582"/>
      <c r="Y679" s="582"/>
      <c r="Z679" s="582"/>
      <c r="AA679" s="582"/>
      <c r="AB679" s="260"/>
      <c r="AC679" s="582"/>
      <c r="AD679" s="582"/>
      <c r="AE679" s="582"/>
      <c r="AI679" s="260"/>
    </row>
    <row r="680" spans="15:35">
      <c r="O680" s="259"/>
      <c r="P680" s="582"/>
      <c r="Q680" s="582"/>
      <c r="R680" s="582"/>
      <c r="S680" s="582"/>
      <c r="T680" s="582"/>
      <c r="U680" s="582"/>
      <c r="V680" s="582"/>
      <c r="W680" s="582"/>
      <c r="X680" s="582"/>
      <c r="Y680" s="582"/>
      <c r="Z680" s="582"/>
      <c r="AA680" s="582"/>
      <c r="AB680" s="260"/>
      <c r="AC680" s="582"/>
      <c r="AD680" s="582"/>
      <c r="AE680" s="582"/>
      <c r="AI680" s="260"/>
    </row>
    <row r="681" spans="15:35">
      <c r="O681" s="259"/>
      <c r="P681" s="582"/>
      <c r="Q681" s="582"/>
      <c r="R681" s="582"/>
      <c r="S681" s="582"/>
      <c r="T681" s="582"/>
      <c r="U681" s="582"/>
      <c r="V681" s="582"/>
      <c r="W681" s="582"/>
      <c r="X681" s="582"/>
      <c r="Y681" s="582"/>
      <c r="Z681" s="582"/>
      <c r="AA681" s="582"/>
      <c r="AB681" s="260"/>
      <c r="AC681" s="582"/>
      <c r="AD681" s="582"/>
      <c r="AE681" s="582"/>
      <c r="AI681" s="260"/>
    </row>
    <row r="682" spans="15:35">
      <c r="O682" s="259"/>
      <c r="P682" s="582"/>
      <c r="Q682" s="582"/>
      <c r="R682" s="582"/>
      <c r="S682" s="582"/>
      <c r="T682" s="582"/>
      <c r="U682" s="582"/>
      <c r="V682" s="582"/>
      <c r="W682" s="582"/>
      <c r="X682" s="582"/>
      <c r="Y682" s="582"/>
      <c r="Z682" s="582"/>
      <c r="AA682" s="582"/>
      <c r="AB682" s="260"/>
      <c r="AC682" s="582"/>
      <c r="AD682" s="582"/>
      <c r="AE682" s="582"/>
      <c r="AI682" s="260"/>
    </row>
    <row r="683" spans="15:35">
      <c r="O683" s="259"/>
      <c r="P683" s="582"/>
      <c r="Q683" s="582"/>
      <c r="R683" s="582"/>
      <c r="S683" s="582"/>
      <c r="T683" s="582"/>
      <c r="U683" s="582"/>
      <c r="V683" s="582"/>
      <c r="W683" s="582"/>
      <c r="X683" s="582"/>
      <c r="Y683" s="582"/>
      <c r="Z683" s="582"/>
      <c r="AA683" s="582"/>
      <c r="AB683" s="260"/>
      <c r="AC683" s="582"/>
      <c r="AD683" s="582"/>
      <c r="AE683" s="582"/>
      <c r="AI683" s="260"/>
    </row>
    <row r="684" spans="15:35">
      <c r="O684" s="259"/>
      <c r="P684" s="582"/>
      <c r="Q684" s="582"/>
      <c r="R684" s="582"/>
      <c r="S684" s="582"/>
      <c r="T684" s="582"/>
      <c r="U684" s="582"/>
      <c r="V684" s="582"/>
      <c r="W684" s="582"/>
      <c r="X684" s="582"/>
      <c r="Y684" s="582"/>
      <c r="Z684" s="582"/>
      <c r="AA684" s="582"/>
      <c r="AB684" s="260"/>
      <c r="AC684" s="582"/>
      <c r="AD684" s="582"/>
      <c r="AE684" s="582"/>
      <c r="AI684" s="260"/>
    </row>
    <row r="685" spans="15:35">
      <c r="O685" s="259"/>
      <c r="P685" s="582"/>
      <c r="Q685" s="582"/>
      <c r="R685" s="582"/>
      <c r="S685" s="582"/>
      <c r="T685" s="582"/>
      <c r="U685" s="582"/>
      <c r="V685" s="582"/>
      <c r="W685" s="582"/>
      <c r="X685" s="582"/>
      <c r="Y685" s="582"/>
      <c r="Z685" s="582"/>
      <c r="AA685" s="582"/>
      <c r="AB685" s="260"/>
      <c r="AC685" s="582"/>
      <c r="AD685" s="582"/>
      <c r="AE685" s="582"/>
      <c r="AI685" s="260"/>
    </row>
    <row r="686" spans="15:35">
      <c r="O686" s="259"/>
      <c r="P686" s="582"/>
      <c r="Q686" s="582"/>
      <c r="R686" s="582"/>
      <c r="S686" s="582"/>
      <c r="T686" s="582"/>
      <c r="U686" s="582"/>
      <c r="V686" s="582"/>
      <c r="W686" s="582"/>
      <c r="X686" s="582"/>
      <c r="Y686" s="582"/>
      <c r="Z686" s="582"/>
      <c r="AA686" s="582"/>
      <c r="AB686" s="260"/>
      <c r="AC686" s="582"/>
      <c r="AD686" s="582"/>
      <c r="AE686" s="582"/>
      <c r="AI686" s="260"/>
    </row>
    <row r="687" spans="15:35">
      <c r="O687" s="259"/>
      <c r="P687" s="582"/>
      <c r="Q687" s="582"/>
      <c r="R687" s="582"/>
      <c r="S687" s="582"/>
      <c r="T687" s="582"/>
      <c r="U687" s="582"/>
      <c r="V687" s="582"/>
      <c r="W687" s="582"/>
      <c r="X687" s="582"/>
      <c r="Y687" s="582"/>
      <c r="Z687" s="582"/>
      <c r="AA687" s="582"/>
      <c r="AB687" s="260"/>
      <c r="AC687" s="582"/>
      <c r="AD687" s="582"/>
      <c r="AE687" s="582"/>
      <c r="AI687" s="260"/>
    </row>
    <row r="688" spans="15:35">
      <c r="O688" s="259"/>
      <c r="P688" s="582"/>
      <c r="Q688" s="582"/>
      <c r="R688" s="582"/>
      <c r="S688" s="582"/>
      <c r="T688" s="582"/>
      <c r="U688" s="582"/>
      <c r="V688" s="582"/>
      <c r="W688" s="582"/>
      <c r="X688" s="582"/>
      <c r="Y688" s="582"/>
      <c r="Z688" s="582"/>
      <c r="AA688" s="582"/>
      <c r="AB688" s="260"/>
      <c r="AC688" s="582"/>
      <c r="AD688" s="582"/>
      <c r="AE688" s="582"/>
      <c r="AI688" s="260"/>
    </row>
    <row r="689" spans="15:35">
      <c r="O689" s="259"/>
      <c r="P689" s="582"/>
      <c r="Q689" s="582"/>
      <c r="R689" s="582"/>
      <c r="S689" s="582"/>
      <c r="T689" s="582"/>
      <c r="U689" s="582"/>
      <c r="V689" s="582"/>
      <c r="W689" s="582"/>
      <c r="X689" s="582"/>
      <c r="Y689" s="582"/>
      <c r="Z689" s="582"/>
      <c r="AA689" s="582"/>
      <c r="AB689" s="260"/>
      <c r="AC689" s="582"/>
      <c r="AD689" s="582"/>
      <c r="AE689" s="582"/>
      <c r="AI689" s="260"/>
    </row>
    <row r="690" spans="15:35">
      <c r="O690" s="259"/>
      <c r="P690" s="582"/>
      <c r="Q690" s="582"/>
      <c r="R690" s="582"/>
      <c r="S690" s="582"/>
      <c r="T690" s="582"/>
      <c r="U690" s="582"/>
      <c r="V690" s="582"/>
      <c r="W690" s="582"/>
      <c r="X690" s="582"/>
      <c r="Y690" s="582"/>
      <c r="Z690" s="582"/>
      <c r="AA690" s="582"/>
      <c r="AB690" s="260"/>
      <c r="AC690" s="582"/>
      <c r="AD690" s="582"/>
      <c r="AE690" s="582"/>
      <c r="AI690" s="260"/>
    </row>
    <row r="691" spans="15:35">
      <c r="O691" s="259"/>
      <c r="P691" s="582"/>
      <c r="Q691" s="582"/>
      <c r="R691" s="582"/>
      <c r="S691" s="582"/>
      <c r="T691" s="582"/>
      <c r="U691" s="582"/>
      <c r="V691" s="582"/>
      <c r="W691" s="582"/>
      <c r="X691" s="582"/>
      <c r="Y691" s="582"/>
      <c r="Z691" s="582"/>
      <c r="AA691" s="582"/>
      <c r="AB691" s="260"/>
      <c r="AC691" s="582"/>
      <c r="AD691" s="582"/>
      <c r="AE691" s="582"/>
      <c r="AI691" s="260"/>
    </row>
    <row r="692" spans="15:35">
      <c r="O692" s="259"/>
      <c r="P692" s="582"/>
      <c r="Q692" s="582"/>
      <c r="R692" s="582"/>
      <c r="S692" s="582"/>
      <c r="T692" s="582"/>
      <c r="U692" s="582"/>
      <c r="V692" s="582"/>
      <c r="W692" s="582"/>
      <c r="X692" s="582"/>
      <c r="Y692" s="582"/>
      <c r="Z692" s="582"/>
      <c r="AA692" s="582"/>
      <c r="AB692" s="260"/>
      <c r="AC692" s="582"/>
      <c r="AD692" s="582"/>
      <c r="AE692" s="582"/>
      <c r="AI692" s="260"/>
    </row>
    <row r="693" spans="15:35">
      <c r="O693" s="259"/>
      <c r="P693" s="582"/>
      <c r="Q693" s="582"/>
      <c r="R693" s="582"/>
      <c r="S693" s="582"/>
      <c r="T693" s="582"/>
      <c r="U693" s="582"/>
      <c r="V693" s="582"/>
      <c r="W693" s="582"/>
      <c r="X693" s="582"/>
      <c r="Y693" s="582"/>
      <c r="Z693" s="582"/>
      <c r="AA693" s="582"/>
      <c r="AB693" s="260"/>
      <c r="AC693" s="582"/>
      <c r="AD693" s="582"/>
      <c r="AE693" s="582"/>
      <c r="AI693" s="260"/>
    </row>
    <row r="694" spans="15:35">
      <c r="O694" s="259"/>
      <c r="P694" s="582"/>
      <c r="Q694" s="582"/>
      <c r="R694" s="582"/>
      <c r="S694" s="582"/>
      <c r="T694" s="582"/>
      <c r="U694" s="582"/>
      <c r="V694" s="582"/>
      <c r="W694" s="582"/>
      <c r="X694" s="582"/>
      <c r="Y694" s="582"/>
      <c r="Z694" s="582"/>
      <c r="AA694" s="582"/>
      <c r="AB694" s="260"/>
      <c r="AC694" s="582"/>
      <c r="AD694" s="582"/>
      <c r="AE694" s="582"/>
      <c r="AI694" s="260"/>
    </row>
    <row r="695" spans="15:35">
      <c r="O695" s="259"/>
      <c r="P695" s="582"/>
      <c r="Q695" s="582"/>
      <c r="R695" s="582"/>
      <c r="S695" s="582"/>
      <c r="T695" s="582"/>
      <c r="U695" s="582"/>
      <c r="V695" s="582"/>
      <c r="W695" s="582"/>
      <c r="X695" s="582"/>
      <c r="Y695" s="582"/>
      <c r="Z695" s="582"/>
      <c r="AA695" s="582"/>
      <c r="AB695" s="260"/>
      <c r="AC695" s="582"/>
      <c r="AD695" s="582"/>
      <c r="AE695" s="582"/>
      <c r="AI695" s="260"/>
    </row>
    <row r="696" spans="15:35">
      <c r="O696" s="259"/>
      <c r="P696" s="582"/>
      <c r="Q696" s="582"/>
      <c r="R696" s="582"/>
      <c r="S696" s="582"/>
      <c r="T696" s="582"/>
      <c r="U696" s="582"/>
      <c r="V696" s="582"/>
      <c r="W696" s="582"/>
      <c r="X696" s="582"/>
      <c r="Y696" s="582"/>
      <c r="Z696" s="582"/>
      <c r="AA696" s="582"/>
      <c r="AB696" s="260"/>
      <c r="AC696" s="582"/>
      <c r="AD696" s="582"/>
      <c r="AE696" s="582"/>
      <c r="AI696" s="260"/>
    </row>
    <row r="697" spans="15:35">
      <c r="O697" s="259"/>
      <c r="P697" s="582"/>
      <c r="Q697" s="582"/>
      <c r="R697" s="582"/>
      <c r="S697" s="582"/>
      <c r="T697" s="582"/>
      <c r="U697" s="582"/>
      <c r="V697" s="582"/>
      <c r="W697" s="582"/>
      <c r="X697" s="582"/>
      <c r="Y697" s="582"/>
      <c r="Z697" s="582"/>
      <c r="AA697" s="582"/>
      <c r="AB697" s="260"/>
      <c r="AC697" s="582"/>
      <c r="AD697" s="582"/>
      <c r="AE697" s="582"/>
      <c r="AI697" s="260"/>
    </row>
    <row r="698" spans="15:35">
      <c r="O698" s="259"/>
      <c r="P698" s="582"/>
      <c r="Q698" s="582"/>
      <c r="R698" s="582"/>
      <c r="S698" s="582"/>
      <c r="T698" s="582"/>
      <c r="U698" s="582"/>
      <c r="V698" s="582"/>
      <c r="W698" s="582"/>
      <c r="X698" s="582"/>
      <c r="Y698" s="582"/>
      <c r="Z698" s="582"/>
      <c r="AA698" s="582"/>
      <c r="AB698" s="260"/>
      <c r="AC698" s="582"/>
      <c r="AD698" s="582"/>
      <c r="AE698" s="582"/>
      <c r="AI698" s="260"/>
    </row>
    <row r="699" spans="15:35">
      <c r="O699" s="259"/>
      <c r="P699" s="582"/>
      <c r="Q699" s="582"/>
      <c r="R699" s="582"/>
      <c r="S699" s="582"/>
      <c r="T699" s="582"/>
      <c r="U699" s="582"/>
      <c r="V699" s="582"/>
      <c r="W699" s="582"/>
      <c r="X699" s="582"/>
      <c r="Y699" s="582"/>
      <c r="Z699" s="582"/>
      <c r="AA699" s="582"/>
      <c r="AB699" s="260"/>
      <c r="AC699" s="582"/>
      <c r="AD699" s="582"/>
      <c r="AE699" s="582"/>
      <c r="AI699" s="260"/>
    </row>
    <row r="700" spans="15:35">
      <c r="O700" s="259"/>
      <c r="P700" s="582"/>
      <c r="Q700" s="582"/>
      <c r="R700" s="582"/>
      <c r="S700" s="582"/>
      <c r="T700" s="582"/>
      <c r="U700" s="582"/>
      <c r="V700" s="582"/>
      <c r="W700" s="582"/>
      <c r="X700" s="582"/>
      <c r="Y700" s="582"/>
      <c r="Z700" s="582"/>
      <c r="AA700" s="582"/>
      <c r="AB700" s="260"/>
      <c r="AC700" s="582"/>
      <c r="AD700" s="582"/>
      <c r="AE700" s="582"/>
      <c r="AI700" s="260"/>
    </row>
    <row r="701" spans="15:35">
      <c r="O701" s="259"/>
      <c r="P701" s="582"/>
      <c r="Q701" s="582"/>
      <c r="R701" s="582"/>
      <c r="S701" s="582"/>
      <c r="T701" s="582"/>
      <c r="U701" s="582"/>
      <c r="V701" s="582"/>
      <c r="W701" s="582"/>
      <c r="X701" s="582"/>
      <c r="Y701" s="582"/>
      <c r="Z701" s="582"/>
      <c r="AA701" s="582"/>
      <c r="AB701" s="260"/>
      <c r="AC701" s="582"/>
      <c r="AD701" s="582"/>
      <c r="AE701" s="582"/>
      <c r="AI701" s="260"/>
    </row>
    <row r="702" spans="15:35">
      <c r="O702" s="259"/>
      <c r="P702" s="582"/>
      <c r="Q702" s="582"/>
      <c r="R702" s="582"/>
      <c r="S702" s="582"/>
      <c r="T702" s="582"/>
      <c r="U702" s="582"/>
      <c r="V702" s="582"/>
      <c r="W702" s="582"/>
      <c r="X702" s="582"/>
      <c r="Y702" s="582"/>
      <c r="Z702" s="582"/>
      <c r="AA702" s="582"/>
      <c r="AB702" s="260"/>
      <c r="AC702" s="582"/>
      <c r="AD702" s="582"/>
      <c r="AE702" s="582"/>
      <c r="AI702" s="260"/>
    </row>
    <row r="703" spans="15:35">
      <c r="O703" s="259"/>
      <c r="P703" s="582"/>
      <c r="Q703" s="582"/>
      <c r="R703" s="582"/>
      <c r="S703" s="582"/>
      <c r="T703" s="582"/>
      <c r="U703" s="582"/>
      <c r="V703" s="582"/>
      <c r="W703" s="582"/>
      <c r="X703" s="582"/>
      <c r="Y703" s="582"/>
      <c r="Z703" s="582"/>
      <c r="AA703" s="582"/>
      <c r="AB703" s="260"/>
      <c r="AC703" s="582"/>
      <c r="AD703" s="582"/>
      <c r="AE703" s="582"/>
      <c r="AI703" s="260"/>
    </row>
    <row r="704" spans="15:35">
      <c r="O704" s="259"/>
      <c r="P704" s="582"/>
      <c r="Q704" s="582"/>
      <c r="R704" s="582"/>
      <c r="S704" s="582"/>
      <c r="T704" s="582"/>
      <c r="U704" s="582"/>
      <c r="V704" s="582"/>
      <c r="W704" s="582"/>
      <c r="X704" s="582"/>
      <c r="Y704" s="582"/>
      <c r="Z704" s="582"/>
      <c r="AA704" s="582"/>
      <c r="AB704" s="260"/>
      <c r="AC704" s="582"/>
      <c r="AD704" s="582"/>
      <c r="AE704" s="582"/>
      <c r="AI704" s="260"/>
    </row>
    <row r="705" spans="15:35">
      <c r="O705" s="259"/>
      <c r="P705" s="582"/>
      <c r="Q705" s="582"/>
      <c r="R705" s="582"/>
      <c r="S705" s="582"/>
      <c r="T705" s="582"/>
      <c r="U705" s="582"/>
      <c r="V705" s="582"/>
      <c r="W705" s="582"/>
      <c r="X705" s="582"/>
      <c r="Y705" s="582"/>
      <c r="Z705" s="582"/>
      <c r="AA705" s="582"/>
      <c r="AB705" s="260"/>
      <c r="AC705" s="582"/>
      <c r="AD705" s="582"/>
      <c r="AE705" s="582"/>
      <c r="AI705" s="260"/>
    </row>
    <row r="706" spans="15:35">
      <c r="O706" s="259"/>
      <c r="P706" s="582"/>
      <c r="Q706" s="582"/>
      <c r="R706" s="582"/>
      <c r="S706" s="582"/>
      <c r="T706" s="582"/>
      <c r="U706" s="582"/>
      <c r="V706" s="582"/>
      <c r="W706" s="582"/>
      <c r="X706" s="582"/>
      <c r="Y706" s="582"/>
      <c r="Z706" s="582"/>
      <c r="AA706" s="582"/>
      <c r="AB706" s="260"/>
      <c r="AC706" s="582"/>
      <c r="AD706" s="582"/>
      <c r="AE706" s="582"/>
      <c r="AI706" s="260"/>
    </row>
    <row r="707" spans="15:35">
      <c r="O707" s="259"/>
      <c r="P707" s="582"/>
      <c r="Q707" s="582"/>
      <c r="R707" s="582"/>
      <c r="S707" s="582"/>
      <c r="T707" s="582"/>
      <c r="U707" s="582"/>
      <c r="V707" s="582"/>
      <c r="W707" s="582"/>
      <c r="X707" s="582"/>
      <c r="Y707" s="582"/>
      <c r="Z707" s="582"/>
      <c r="AA707" s="582"/>
      <c r="AB707" s="260"/>
      <c r="AC707" s="582"/>
      <c r="AD707" s="582"/>
      <c r="AE707" s="582"/>
      <c r="AI707" s="260"/>
    </row>
    <row r="708" spans="15:35">
      <c r="O708" s="259"/>
      <c r="P708" s="582"/>
      <c r="Q708" s="582"/>
      <c r="R708" s="582"/>
      <c r="S708" s="582"/>
      <c r="T708" s="582"/>
      <c r="U708" s="582"/>
      <c r="V708" s="582"/>
      <c r="W708" s="582"/>
      <c r="X708" s="582"/>
      <c r="Y708" s="582"/>
      <c r="Z708" s="582"/>
      <c r="AA708" s="582"/>
      <c r="AB708" s="260"/>
      <c r="AC708" s="582"/>
      <c r="AD708" s="582"/>
      <c r="AE708" s="582"/>
      <c r="AI708" s="260"/>
    </row>
    <row r="709" spans="15:35">
      <c r="O709" s="259"/>
      <c r="P709" s="582"/>
      <c r="Q709" s="582"/>
      <c r="R709" s="582"/>
      <c r="S709" s="582"/>
      <c r="T709" s="582"/>
      <c r="U709" s="582"/>
      <c r="V709" s="582"/>
      <c r="W709" s="582"/>
      <c r="X709" s="582"/>
      <c r="Y709" s="582"/>
      <c r="Z709" s="582"/>
      <c r="AA709" s="582"/>
      <c r="AB709" s="260"/>
      <c r="AC709" s="582"/>
      <c r="AD709" s="582"/>
      <c r="AE709" s="582"/>
      <c r="AI709" s="260"/>
    </row>
    <row r="710" spans="15:35">
      <c r="O710" s="259"/>
      <c r="P710" s="582"/>
      <c r="Q710" s="582"/>
      <c r="R710" s="582"/>
      <c r="S710" s="582"/>
      <c r="T710" s="582"/>
      <c r="U710" s="582"/>
      <c r="V710" s="582"/>
      <c r="W710" s="582"/>
      <c r="X710" s="582"/>
      <c r="Y710" s="582"/>
      <c r="Z710" s="582"/>
      <c r="AA710" s="582"/>
      <c r="AB710" s="260"/>
      <c r="AC710" s="582"/>
      <c r="AD710" s="582"/>
      <c r="AE710" s="582"/>
      <c r="AI710" s="260"/>
    </row>
    <row r="711" spans="15:35">
      <c r="O711" s="259"/>
      <c r="P711" s="582"/>
      <c r="Q711" s="582"/>
      <c r="R711" s="582"/>
      <c r="S711" s="582"/>
      <c r="T711" s="582"/>
      <c r="U711" s="582"/>
      <c r="V711" s="582"/>
      <c r="W711" s="582"/>
      <c r="X711" s="582"/>
      <c r="Y711" s="582"/>
      <c r="Z711" s="582"/>
      <c r="AA711" s="582"/>
      <c r="AB711" s="260"/>
      <c r="AC711" s="582"/>
      <c r="AD711" s="582"/>
      <c r="AE711" s="582"/>
      <c r="AI711" s="260"/>
    </row>
    <row r="712" spans="15:35">
      <c r="O712" s="259"/>
      <c r="P712" s="582"/>
      <c r="Q712" s="582"/>
      <c r="R712" s="582"/>
      <c r="S712" s="582"/>
      <c r="T712" s="582"/>
      <c r="U712" s="582"/>
      <c r="V712" s="582"/>
      <c r="W712" s="582"/>
      <c r="X712" s="582"/>
      <c r="Y712" s="582"/>
      <c r="Z712" s="582"/>
      <c r="AA712" s="582"/>
      <c r="AB712" s="260"/>
      <c r="AC712" s="582"/>
      <c r="AD712" s="582"/>
      <c r="AE712" s="582"/>
      <c r="AI712" s="260"/>
    </row>
    <row r="713" spans="15:35">
      <c r="O713" s="259"/>
      <c r="P713" s="582"/>
      <c r="Q713" s="582"/>
      <c r="R713" s="582"/>
      <c r="S713" s="582"/>
      <c r="T713" s="582"/>
      <c r="U713" s="582"/>
      <c r="V713" s="582"/>
      <c r="W713" s="582"/>
      <c r="X713" s="582"/>
      <c r="Y713" s="582"/>
      <c r="Z713" s="582"/>
      <c r="AA713" s="582"/>
      <c r="AB713" s="260"/>
      <c r="AC713" s="582"/>
      <c r="AD713" s="582"/>
      <c r="AE713" s="582"/>
      <c r="AI713" s="260"/>
    </row>
    <row r="714" spans="15:35">
      <c r="O714" s="259"/>
      <c r="P714" s="582"/>
      <c r="Q714" s="582"/>
      <c r="R714" s="582"/>
      <c r="S714" s="582"/>
      <c r="T714" s="582"/>
      <c r="U714" s="582"/>
      <c r="V714" s="582"/>
      <c r="W714" s="582"/>
      <c r="X714" s="582"/>
      <c r="Y714" s="582"/>
      <c r="Z714" s="582"/>
      <c r="AA714" s="582"/>
      <c r="AB714" s="260"/>
      <c r="AC714" s="582"/>
      <c r="AD714" s="582"/>
      <c r="AE714" s="582"/>
      <c r="AI714" s="260"/>
    </row>
    <row r="715" spans="15:35">
      <c r="O715" s="259"/>
      <c r="P715" s="582"/>
      <c r="Q715" s="582"/>
      <c r="R715" s="582"/>
      <c r="S715" s="582"/>
      <c r="T715" s="582"/>
      <c r="U715" s="582"/>
      <c r="V715" s="582"/>
      <c r="W715" s="582"/>
      <c r="X715" s="582"/>
      <c r="Y715" s="582"/>
      <c r="Z715" s="582"/>
      <c r="AA715" s="582"/>
      <c r="AB715" s="260"/>
      <c r="AC715" s="582"/>
      <c r="AD715" s="582"/>
      <c r="AE715" s="582"/>
      <c r="AI715" s="260"/>
    </row>
    <row r="716" spans="15:35">
      <c r="O716" s="259"/>
      <c r="P716" s="582"/>
      <c r="Q716" s="582"/>
      <c r="R716" s="582"/>
      <c r="S716" s="582"/>
      <c r="T716" s="582"/>
      <c r="U716" s="582"/>
      <c r="V716" s="582"/>
      <c r="W716" s="582"/>
      <c r="X716" s="582"/>
      <c r="Y716" s="582"/>
      <c r="Z716" s="582"/>
      <c r="AA716" s="582"/>
      <c r="AB716" s="260"/>
      <c r="AC716" s="582"/>
      <c r="AD716" s="582"/>
      <c r="AE716" s="582"/>
      <c r="AI716" s="260"/>
    </row>
    <row r="717" spans="15:35">
      <c r="O717" s="259"/>
      <c r="P717" s="582"/>
      <c r="Q717" s="582"/>
      <c r="R717" s="582"/>
      <c r="S717" s="582"/>
      <c r="T717" s="582"/>
      <c r="U717" s="582"/>
      <c r="V717" s="582"/>
      <c r="W717" s="582"/>
      <c r="X717" s="582"/>
      <c r="Y717" s="582"/>
      <c r="Z717" s="582"/>
      <c r="AA717" s="582"/>
      <c r="AB717" s="260"/>
      <c r="AC717" s="582"/>
      <c r="AD717" s="582"/>
      <c r="AE717" s="582"/>
      <c r="AI717" s="260"/>
    </row>
    <row r="718" spans="15:35">
      <c r="O718" s="259"/>
      <c r="P718" s="582"/>
      <c r="Q718" s="582"/>
      <c r="R718" s="582"/>
      <c r="S718" s="582"/>
      <c r="T718" s="582"/>
      <c r="U718" s="582"/>
      <c r="V718" s="582"/>
      <c r="W718" s="582"/>
      <c r="X718" s="582"/>
      <c r="Y718" s="582"/>
      <c r="Z718" s="582"/>
      <c r="AA718" s="582"/>
      <c r="AB718" s="260"/>
      <c r="AC718" s="582"/>
      <c r="AD718" s="582"/>
      <c r="AE718" s="582"/>
      <c r="AI718" s="260"/>
    </row>
    <row r="719" spans="15:35">
      <c r="O719" s="259"/>
      <c r="P719" s="582"/>
      <c r="Q719" s="582"/>
      <c r="R719" s="582"/>
      <c r="S719" s="582"/>
      <c r="T719" s="582"/>
      <c r="U719" s="582"/>
      <c r="V719" s="582"/>
      <c r="W719" s="582"/>
      <c r="X719" s="582"/>
      <c r="Y719" s="582"/>
      <c r="Z719" s="582"/>
      <c r="AA719" s="582"/>
      <c r="AB719" s="260"/>
      <c r="AC719" s="582"/>
      <c r="AD719" s="582"/>
      <c r="AE719" s="582"/>
      <c r="AI719" s="260"/>
    </row>
    <row r="720" spans="15:35">
      <c r="O720" s="259"/>
      <c r="P720" s="582"/>
      <c r="Q720" s="582"/>
      <c r="R720" s="582"/>
      <c r="S720" s="582"/>
      <c r="T720" s="582"/>
      <c r="U720" s="582"/>
      <c r="V720" s="582"/>
      <c r="W720" s="582"/>
      <c r="X720" s="582"/>
      <c r="Y720" s="582"/>
      <c r="Z720" s="582"/>
      <c r="AA720" s="582"/>
      <c r="AB720" s="260"/>
      <c r="AC720" s="582"/>
      <c r="AD720" s="582"/>
      <c r="AE720" s="582"/>
      <c r="AI720" s="260"/>
    </row>
    <row r="721" spans="15:35">
      <c r="O721" s="259"/>
      <c r="P721" s="582"/>
      <c r="Q721" s="582"/>
      <c r="R721" s="582"/>
      <c r="S721" s="582"/>
      <c r="T721" s="582"/>
      <c r="U721" s="582"/>
      <c r="V721" s="582"/>
      <c r="W721" s="582"/>
      <c r="X721" s="582"/>
      <c r="Y721" s="582"/>
      <c r="Z721" s="582"/>
      <c r="AA721" s="582"/>
      <c r="AB721" s="260"/>
      <c r="AC721" s="582"/>
      <c r="AD721" s="582"/>
      <c r="AE721" s="582"/>
      <c r="AI721" s="260"/>
    </row>
    <row r="722" spans="15:35">
      <c r="O722" s="259"/>
      <c r="P722" s="582"/>
      <c r="Q722" s="582"/>
      <c r="R722" s="582"/>
      <c r="S722" s="582"/>
      <c r="T722" s="582"/>
      <c r="U722" s="582"/>
      <c r="V722" s="582"/>
      <c r="W722" s="582"/>
      <c r="X722" s="582"/>
      <c r="Y722" s="582"/>
      <c r="Z722" s="582"/>
      <c r="AA722" s="582"/>
      <c r="AB722" s="260"/>
      <c r="AC722" s="582"/>
      <c r="AD722" s="582"/>
      <c r="AE722" s="582"/>
      <c r="AI722" s="260"/>
    </row>
    <row r="723" spans="15:35">
      <c r="O723" s="259"/>
      <c r="P723" s="582"/>
      <c r="Q723" s="582"/>
      <c r="R723" s="582"/>
      <c r="S723" s="582"/>
      <c r="T723" s="582"/>
      <c r="U723" s="582"/>
      <c r="V723" s="582"/>
      <c r="W723" s="582"/>
      <c r="X723" s="582"/>
      <c r="Y723" s="582"/>
      <c r="Z723" s="582"/>
      <c r="AA723" s="582"/>
      <c r="AB723" s="260"/>
      <c r="AC723" s="582"/>
      <c r="AD723" s="582"/>
      <c r="AE723" s="582"/>
      <c r="AI723" s="260"/>
    </row>
    <row r="724" spans="15:35">
      <c r="O724" s="259"/>
      <c r="P724" s="582"/>
      <c r="Q724" s="582"/>
      <c r="R724" s="582"/>
      <c r="S724" s="582"/>
      <c r="T724" s="582"/>
      <c r="U724" s="582"/>
      <c r="V724" s="582"/>
      <c r="W724" s="582"/>
      <c r="X724" s="582"/>
      <c r="Y724" s="582"/>
      <c r="Z724" s="582"/>
      <c r="AA724" s="582"/>
      <c r="AB724" s="260"/>
      <c r="AC724" s="582"/>
      <c r="AD724" s="582"/>
      <c r="AE724" s="582"/>
      <c r="AI724" s="260"/>
    </row>
    <row r="725" spans="15:35">
      <c r="O725" s="259"/>
      <c r="P725" s="582"/>
      <c r="Q725" s="582"/>
      <c r="R725" s="582"/>
      <c r="S725" s="582"/>
      <c r="T725" s="582"/>
      <c r="U725" s="582"/>
      <c r="V725" s="582"/>
      <c r="W725" s="582"/>
      <c r="X725" s="582"/>
      <c r="Y725" s="582"/>
      <c r="Z725" s="582"/>
      <c r="AA725" s="582"/>
      <c r="AB725" s="260"/>
      <c r="AC725" s="582"/>
      <c r="AD725" s="582"/>
      <c r="AE725" s="582"/>
      <c r="AI725" s="260"/>
    </row>
    <row r="726" spans="15:35">
      <c r="O726" s="259"/>
      <c r="P726" s="582"/>
      <c r="Q726" s="582"/>
      <c r="R726" s="582"/>
      <c r="S726" s="582"/>
      <c r="T726" s="582"/>
      <c r="U726" s="582"/>
      <c r="V726" s="582"/>
      <c r="W726" s="582"/>
      <c r="X726" s="582"/>
      <c r="Y726" s="582"/>
      <c r="Z726" s="582"/>
      <c r="AA726" s="582"/>
      <c r="AB726" s="260"/>
      <c r="AC726" s="582"/>
      <c r="AD726" s="582"/>
      <c r="AE726" s="582"/>
      <c r="AI726" s="260"/>
    </row>
    <row r="727" spans="15:35">
      <c r="O727" s="259"/>
      <c r="P727" s="582"/>
      <c r="Q727" s="582"/>
      <c r="R727" s="582"/>
      <c r="S727" s="582"/>
      <c r="T727" s="582"/>
      <c r="U727" s="582"/>
      <c r="V727" s="582"/>
      <c r="W727" s="582"/>
      <c r="X727" s="582"/>
      <c r="Y727" s="582"/>
      <c r="Z727" s="582"/>
      <c r="AA727" s="582"/>
      <c r="AB727" s="260"/>
      <c r="AC727" s="582"/>
      <c r="AD727" s="582"/>
      <c r="AE727" s="582"/>
      <c r="AI727" s="260"/>
    </row>
    <row r="728" spans="15:35">
      <c r="O728" s="259"/>
      <c r="P728" s="582"/>
      <c r="Q728" s="582"/>
      <c r="R728" s="582"/>
      <c r="S728" s="582"/>
      <c r="T728" s="582"/>
      <c r="U728" s="582"/>
      <c r="V728" s="582"/>
      <c r="W728" s="582"/>
      <c r="X728" s="582"/>
      <c r="Y728" s="582"/>
      <c r="Z728" s="582"/>
      <c r="AA728" s="582"/>
      <c r="AB728" s="260"/>
      <c r="AC728" s="582"/>
      <c r="AD728" s="582"/>
      <c r="AE728" s="582"/>
      <c r="AI728" s="260"/>
    </row>
    <row r="729" spans="15:35">
      <c r="O729" s="259"/>
      <c r="P729" s="582"/>
      <c r="Q729" s="582"/>
      <c r="R729" s="582"/>
      <c r="S729" s="582"/>
      <c r="T729" s="582"/>
      <c r="U729" s="582"/>
      <c r="V729" s="582"/>
      <c r="W729" s="582"/>
      <c r="X729" s="582"/>
      <c r="Y729" s="582"/>
      <c r="Z729" s="582"/>
      <c r="AA729" s="582"/>
      <c r="AB729" s="260"/>
      <c r="AC729" s="582"/>
      <c r="AD729" s="582"/>
      <c r="AE729" s="582"/>
      <c r="AI729" s="260"/>
    </row>
    <row r="730" spans="15:35">
      <c r="O730" s="259"/>
      <c r="P730" s="582"/>
      <c r="Q730" s="582"/>
      <c r="R730" s="582"/>
      <c r="S730" s="582"/>
      <c r="T730" s="582"/>
      <c r="U730" s="582"/>
      <c r="V730" s="582"/>
      <c r="W730" s="582"/>
      <c r="X730" s="582"/>
      <c r="Y730" s="582"/>
      <c r="Z730" s="582"/>
      <c r="AA730" s="582"/>
      <c r="AB730" s="260"/>
      <c r="AC730" s="582"/>
      <c r="AD730" s="582"/>
      <c r="AE730" s="582"/>
      <c r="AI730" s="260"/>
    </row>
    <row r="731" spans="15:35">
      <c r="O731" s="259"/>
      <c r="P731" s="582"/>
      <c r="Q731" s="582"/>
      <c r="R731" s="582"/>
      <c r="S731" s="582"/>
      <c r="T731" s="582"/>
      <c r="U731" s="582"/>
      <c r="V731" s="582"/>
      <c r="W731" s="582"/>
      <c r="X731" s="582"/>
      <c r="Y731" s="582"/>
      <c r="Z731" s="582"/>
      <c r="AA731" s="582"/>
      <c r="AB731" s="260"/>
      <c r="AC731" s="582"/>
      <c r="AD731" s="582"/>
      <c r="AE731" s="582"/>
      <c r="AI731" s="260"/>
    </row>
    <row r="732" spans="15:35">
      <c r="O732" s="259"/>
      <c r="P732" s="582"/>
      <c r="Q732" s="582"/>
      <c r="R732" s="582"/>
      <c r="S732" s="582"/>
      <c r="T732" s="582"/>
      <c r="U732" s="582"/>
      <c r="V732" s="582"/>
      <c r="W732" s="582"/>
      <c r="X732" s="582"/>
      <c r="Y732" s="582"/>
      <c r="Z732" s="582"/>
      <c r="AA732" s="582"/>
      <c r="AB732" s="260"/>
      <c r="AC732" s="582"/>
      <c r="AD732" s="582"/>
      <c r="AE732" s="582"/>
      <c r="AI732" s="260"/>
    </row>
    <row r="733" spans="15:35">
      <c r="O733" s="259"/>
      <c r="P733" s="582"/>
      <c r="Q733" s="582"/>
      <c r="R733" s="582"/>
      <c r="S733" s="582"/>
      <c r="T733" s="582"/>
      <c r="U733" s="582"/>
      <c r="V733" s="582"/>
      <c r="W733" s="582"/>
      <c r="X733" s="582"/>
      <c r="Y733" s="582"/>
      <c r="Z733" s="582"/>
      <c r="AA733" s="582"/>
      <c r="AB733" s="260"/>
      <c r="AC733" s="582"/>
      <c r="AD733" s="582"/>
      <c r="AE733" s="582"/>
      <c r="AI733" s="260"/>
    </row>
    <row r="734" spans="15:35">
      <c r="O734" s="259"/>
      <c r="P734" s="582"/>
      <c r="Q734" s="582"/>
      <c r="R734" s="582"/>
      <c r="S734" s="582"/>
      <c r="T734" s="582"/>
      <c r="U734" s="582"/>
      <c r="V734" s="582"/>
      <c r="W734" s="582"/>
      <c r="X734" s="582"/>
      <c r="Y734" s="582"/>
      <c r="Z734" s="582"/>
      <c r="AA734" s="582"/>
      <c r="AB734" s="260"/>
      <c r="AC734" s="582"/>
      <c r="AD734" s="582"/>
      <c r="AE734" s="582"/>
      <c r="AI734" s="260"/>
    </row>
    <row r="735" spans="15:35">
      <c r="O735" s="259"/>
      <c r="P735" s="582"/>
      <c r="Q735" s="582"/>
      <c r="R735" s="582"/>
      <c r="S735" s="582"/>
      <c r="T735" s="582"/>
      <c r="U735" s="582"/>
      <c r="V735" s="582"/>
      <c r="W735" s="582"/>
      <c r="X735" s="582"/>
      <c r="Y735" s="582"/>
      <c r="Z735" s="582"/>
      <c r="AA735" s="582"/>
      <c r="AB735" s="260"/>
      <c r="AC735" s="582"/>
      <c r="AD735" s="582"/>
      <c r="AE735" s="582"/>
      <c r="AI735" s="260"/>
    </row>
    <row r="736" spans="15:35">
      <c r="O736" s="259"/>
      <c r="P736" s="582"/>
      <c r="Q736" s="582"/>
      <c r="R736" s="582"/>
      <c r="S736" s="582"/>
      <c r="T736" s="582"/>
      <c r="U736" s="582"/>
      <c r="V736" s="582"/>
      <c r="W736" s="582"/>
      <c r="X736" s="582"/>
      <c r="Y736" s="582"/>
      <c r="Z736" s="582"/>
      <c r="AA736" s="582"/>
      <c r="AB736" s="260"/>
      <c r="AC736" s="582"/>
      <c r="AD736" s="582"/>
      <c r="AE736" s="582"/>
      <c r="AI736" s="260"/>
    </row>
    <row r="737" spans="15:35">
      <c r="O737" s="259"/>
      <c r="P737" s="582"/>
      <c r="Q737" s="582"/>
      <c r="R737" s="582"/>
      <c r="S737" s="582"/>
      <c r="T737" s="582"/>
      <c r="U737" s="582"/>
      <c r="V737" s="582"/>
      <c r="W737" s="582"/>
      <c r="X737" s="582"/>
      <c r="Y737" s="582"/>
      <c r="Z737" s="582"/>
      <c r="AA737" s="582"/>
      <c r="AB737" s="260"/>
      <c r="AC737" s="582"/>
      <c r="AD737" s="582"/>
      <c r="AE737" s="582"/>
      <c r="AI737" s="260"/>
    </row>
    <row r="738" spans="15:35">
      <c r="O738" s="259"/>
      <c r="P738" s="582"/>
      <c r="Q738" s="582"/>
      <c r="R738" s="582"/>
      <c r="S738" s="582"/>
      <c r="T738" s="582"/>
      <c r="U738" s="582"/>
      <c r="V738" s="582"/>
      <c r="W738" s="582"/>
      <c r="X738" s="582"/>
      <c r="Y738" s="582"/>
      <c r="Z738" s="582"/>
      <c r="AA738" s="582"/>
      <c r="AB738" s="260"/>
      <c r="AC738" s="582"/>
      <c r="AD738" s="582"/>
      <c r="AE738" s="582"/>
      <c r="AI738" s="260"/>
    </row>
    <row r="739" spans="15:35">
      <c r="O739" s="259"/>
      <c r="P739" s="582"/>
      <c r="Q739" s="582"/>
      <c r="R739" s="582"/>
      <c r="S739" s="582"/>
      <c r="T739" s="582"/>
      <c r="U739" s="582"/>
      <c r="V739" s="582"/>
      <c r="W739" s="582"/>
      <c r="X739" s="582"/>
      <c r="Y739" s="582"/>
      <c r="Z739" s="582"/>
      <c r="AA739" s="582"/>
      <c r="AB739" s="260"/>
      <c r="AC739" s="582"/>
      <c r="AD739" s="582"/>
      <c r="AE739" s="582"/>
      <c r="AI739" s="260"/>
    </row>
    <row r="740" spans="15:35">
      <c r="O740" s="259"/>
      <c r="P740" s="582"/>
      <c r="Q740" s="582"/>
      <c r="R740" s="582"/>
      <c r="S740" s="582"/>
      <c r="T740" s="582"/>
      <c r="U740" s="582"/>
      <c r="V740" s="582"/>
      <c r="W740" s="582"/>
      <c r="X740" s="582"/>
      <c r="Y740" s="582"/>
      <c r="Z740" s="582"/>
      <c r="AA740" s="582"/>
      <c r="AB740" s="260"/>
      <c r="AC740" s="582"/>
      <c r="AD740" s="582"/>
      <c r="AE740" s="582"/>
      <c r="AI740" s="260"/>
    </row>
    <row r="741" spans="15:35">
      <c r="O741" s="259"/>
      <c r="P741" s="582"/>
      <c r="Q741" s="582"/>
      <c r="R741" s="582"/>
      <c r="S741" s="582"/>
      <c r="T741" s="582"/>
      <c r="U741" s="582"/>
      <c r="V741" s="582"/>
      <c r="W741" s="582"/>
      <c r="X741" s="582"/>
      <c r="Y741" s="582"/>
      <c r="Z741" s="582"/>
      <c r="AA741" s="582"/>
      <c r="AB741" s="260"/>
      <c r="AC741" s="582"/>
      <c r="AD741" s="582"/>
      <c r="AE741" s="582"/>
      <c r="AI741" s="260"/>
    </row>
    <row r="742" spans="15:35">
      <c r="O742" s="259"/>
      <c r="P742" s="582"/>
      <c r="Q742" s="582"/>
      <c r="R742" s="582"/>
      <c r="S742" s="582"/>
      <c r="T742" s="582"/>
      <c r="U742" s="582"/>
      <c r="V742" s="582"/>
      <c r="W742" s="582"/>
      <c r="X742" s="582"/>
      <c r="Y742" s="582"/>
      <c r="Z742" s="582"/>
      <c r="AA742" s="582"/>
      <c r="AB742" s="260"/>
      <c r="AC742" s="582"/>
      <c r="AD742" s="582"/>
      <c r="AE742" s="582"/>
      <c r="AI742" s="260"/>
    </row>
    <row r="743" spans="15:35">
      <c r="O743" s="259"/>
      <c r="P743" s="582"/>
      <c r="Q743" s="582"/>
      <c r="R743" s="582"/>
      <c r="S743" s="582"/>
      <c r="T743" s="582"/>
      <c r="U743" s="582"/>
      <c r="V743" s="582"/>
      <c r="W743" s="582"/>
      <c r="X743" s="582"/>
      <c r="Y743" s="582"/>
      <c r="Z743" s="582"/>
      <c r="AA743" s="582"/>
      <c r="AB743" s="260"/>
      <c r="AC743" s="582"/>
      <c r="AD743" s="582"/>
      <c r="AE743" s="582"/>
      <c r="AI743" s="260"/>
    </row>
    <row r="744" spans="15:35">
      <c r="O744" s="259"/>
      <c r="P744" s="582"/>
      <c r="Q744" s="582"/>
      <c r="R744" s="582"/>
      <c r="S744" s="582"/>
      <c r="T744" s="582"/>
      <c r="U744" s="582"/>
      <c r="V744" s="582"/>
      <c r="W744" s="582"/>
      <c r="X744" s="582"/>
      <c r="Y744" s="582"/>
      <c r="Z744" s="582"/>
      <c r="AA744" s="582"/>
      <c r="AB744" s="260"/>
      <c r="AC744" s="582"/>
      <c r="AD744" s="582"/>
      <c r="AE744" s="582"/>
      <c r="AI744" s="260"/>
    </row>
    <row r="745" spans="15:35">
      <c r="O745" s="259"/>
      <c r="P745" s="582"/>
      <c r="Q745" s="582"/>
      <c r="R745" s="582"/>
      <c r="S745" s="582"/>
      <c r="T745" s="582"/>
      <c r="U745" s="582"/>
      <c r="V745" s="582"/>
      <c r="W745" s="582"/>
      <c r="X745" s="582"/>
      <c r="Y745" s="582"/>
      <c r="Z745" s="582"/>
      <c r="AA745" s="582"/>
      <c r="AB745" s="260"/>
      <c r="AC745" s="582"/>
      <c r="AD745" s="582"/>
      <c r="AE745" s="582"/>
      <c r="AI745" s="260"/>
    </row>
    <row r="746" spans="15:35">
      <c r="O746" s="259"/>
      <c r="P746" s="582"/>
      <c r="Q746" s="582"/>
      <c r="R746" s="582"/>
      <c r="S746" s="582"/>
      <c r="T746" s="582"/>
      <c r="U746" s="582"/>
      <c r="V746" s="582"/>
      <c r="W746" s="582"/>
      <c r="X746" s="582"/>
      <c r="Y746" s="582"/>
      <c r="Z746" s="582"/>
      <c r="AA746" s="582"/>
      <c r="AB746" s="260"/>
      <c r="AC746" s="582"/>
      <c r="AD746" s="582"/>
      <c r="AE746" s="582"/>
      <c r="AI746" s="260"/>
    </row>
    <row r="747" spans="15:35">
      <c r="O747" s="259"/>
      <c r="P747" s="582"/>
      <c r="Q747" s="582"/>
      <c r="R747" s="582"/>
      <c r="S747" s="582"/>
      <c r="T747" s="582"/>
      <c r="U747" s="582"/>
      <c r="V747" s="582"/>
      <c r="W747" s="582"/>
      <c r="X747" s="582"/>
      <c r="Y747" s="582"/>
      <c r="Z747" s="582"/>
      <c r="AA747" s="582"/>
      <c r="AB747" s="260"/>
      <c r="AC747" s="582"/>
      <c r="AD747" s="582"/>
      <c r="AE747" s="582"/>
      <c r="AI747" s="260"/>
    </row>
    <row r="748" spans="15:35">
      <c r="O748" s="259"/>
      <c r="P748" s="582"/>
      <c r="Q748" s="582"/>
      <c r="R748" s="582"/>
      <c r="S748" s="582"/>
      <c r="T748" s="582"/>
      <c r="U748" s="582"/>
      <c r="V748" s="582"/>
      <c r="W748" s="582"/>
      <c r="X748" s="582"/>
      <c r="Y748" s="582"/>
      <c r="Z748" s="582"/>
      <c r="AA748" s="582"/>
      <c r="AB748" s="260"/>
      <c r="AC748" s="582"/>
      <c r="AD748" s="582"/>
      <c r="AE748" s="582"/>
      <c r="AI748" s="260"/>
    </row>
    <row r="749" spans="15:35">
      <c r="O749" s="259"/>
      <c r="P749" s="582"/>
      <c r="Q749" s="582"/>
      <c r="R749" s="582"/>
      <c r="S749" s="582"/>
      <c r="T749" s="582"/>
      <c r="U749" s="582"/>
      <c r="V749" s="582"/>
      <c r="W749" s="582"/>
      <c r="X749" s="582"/>
      <c r="Y749" s="582"/>
      <c r="Z749" s="582"/>
      <c r="AA749" s="582"/>
      <c r="AB749" s="260"/>
      <c r="AC749" s="582"/>
      <c r="AD749" s="582"/>
      <c r="AE749" s="582"/>
      <c r="AI749" s="260"/>
    </row>
    <row r="750" spans="15:35">
      <c r="O750" s="259"/>
      <c r="P750" s="582"/>
      <c r="Q750" s="582"/>
      <c r="R750" s="582"/>
      <c r="S750" s="582"/>
      <c r="T750" s="582"/>
      <c r="U750" s="582"/>
      <c r="V750" s="582"/>
      <c r="W750" s="582"/>
      <c r="X750" s="582"/>
      <c r="Y750" s="582"/>
      <c r="Z750" s="582"/>
      <c r="AA750" s="582"/>
      <c r="AB750" s="260"/>
      <c r="AC750" s="582"/>
      <c r="AD750" s="582"/>
      <c r="AE750" s="582"/>
      <c r="AI750" s="260"/>
    </row>
    <row r="751" spans="15:35">
      <c r="O751" s="259"/>
      <c r="P751" s="582"/>
      <c r="Q751" s="582"/>
      <c r="R751" s="582"/>
      <c r="S751" s="582"/>
      <c r="T751" s="582"/>
      <c r="U751" s="582"/>
      <c r="V751" s="582"/>
      <c r="W751" s="582"/>
      <c r="X751" s="582"/>
      <c r="Y751" s="582"/>
      <c r="Z751" s="582"/>
      <c r="AA751" s="582"/>
      <c r="AB751" s="260"/>
      <c r="AC751" s="582"/>
      <c r="AD751" s="582"/>
      <c r="AE751" s="582"/>
      <c r="AI751" s="260"/>
    </row>
    <row r="752" spans="15:35">
      <c r="O752" s="259"/>
      <c r="P752" s="582"/>
      <c r="Q752" s="582"/>
      <c r="R752" s="582"/>
      <c r="S752" s="582"/>
      <c r="T752" s="582"/>
      <c r="U752" s="582"/>
      <c r="V752" s="582"/>
      <c r="W752" s="582"/>
      <c r="X752" s="582"/>
      <c r="Y752" s="582"/>
      <c r="Z752" s="582"/>
      <c r="AA752" s="582"/>
      <c r="AB752" s="260"/>
      <c r="AC752" s="582"/>
      <c r="AD752" s="582"/>
      <c r="AE752" s="582"/>
      <c r="AI752" s="260"/>
    </row>
    <row r="753" spans="15:35">
      <c r="O753" s="259"/>
      <c r="P753" s="582"/>
      <c r="Q753" s="582"/>
      <c r="R753" s="582"/>
      <c r="S753" s="582"/>
      <c r="T753" s="582"/>
      <c r="U753" s="582"/>
      <c r="V753" s="582"/>
      <c r="W753" s="582"/>
      <c r="X753" s="582"/>
      <c r="Y753" s="582"/>
      <c r="Z753" s="582"/>
      <c r="AA753" s="582"/>
      <c r="AB753" s="260"/>
      <c r="AC753" s="582"/>
      <c r="AD753" s="582"/>
      <c r="AE753" s="582"/>
      <c r="AI753" s="260"/>
    </row>
    <row r="754" spans="15:35">
      <c r="O754" s="259"/>
      <c r="P754" s="582"/>
      <c r="Q754" s="582"/>
      <c r="R754" s="582"/>
      <c r="S754" s="582"/>
      <c r="T754" s="582"/>
      <c r="U754" s="582"/>
      <c r="V754" s="582"/>
      <c r="W754" s="582"/>
      <c r="X754" s="582"/>
      <c r="Y754" s="582"/>
      <c r="Z754" s="582"/>
      <c r="AA754" s="582"/>
      <c r="AB754" s="260"/>
      <c r="AC754" s="582"/>
      <c r="AD754" s="582"/>
      <c r="AE754" s="582"/>
      <c r="AI754" s="260"/>
    </row>
    <row r="755" spans="15:35">
      <c r="O755" s="259"/>
      <c r="P755" s="582"/>
      <c r="Q755" s="582"/>
      <c r="R755" s="582"/>
      <c r="S755" s="582"/>
      <c r="T755" s="582"/>
      <c r="U755" s="582"/>
      <c r="V755" s="582"/>
      <c r="W755" s="582"/>
      <c r="X755" s="582"/>
      <c r="Y755" s="582"/>
      <c r="Z755" s="582"/>
      <c r="AA755" s="582"/>
      <c r="AB755" s="260"/>
      <c r="AC755" s="582"/>
      <c r="AD755" s="582"/>
      <c r="AE755" s="582"/>
      <c r="AI755" s="260"/>
    </row>
    <row r="756" spans="15:35">
      <c r="O756" s="259"/>
      <c r="P756" s="582"/>
      <c r="Q756" s="582"/>
      <c r="R756" s="582"/>
      <c r="S756" s="582"/>
      <c r="T756" s="582"/>
      <c r="U756" s="582"/>
      <c r="V756" s="582"/>
      <c r="W756" s="582"/>
      <c r="X756" s="582"/>
      <c r="Y756" s="582"/>
      <c r="Z756" s="582"/>
      <c r="AA756" s="582"/>
      <c r="AB756" s="260"/>
      <c r="AC756" s="582"/>
      <c r="AD756" s="582"/>
      <c r="AE756" s="582"/>
      <c r="AI756" s="260"/>
    </row>
    <row r="757" spans="15:35">
      <c r="O757" s="259"/>
      <c r="P757" s="582"/>
      <c r="Q757" s="582"/>
      <c r="R757" s="582"/>
      <c r="S757" s="582"/>
      <c r="T757" s="582"/>
      <c r="U757" s="582"/>
      <c r="V757" s="582"/>
      <c r="W757" s="582"/>
      <c r="X757" s="582"/>
      <c r="Y757" s="582"/>
      <c r="Z757" s="582"/>
      <c r="AA757" s="582"/>
      <c r="AB757" s="260"/>
      <c r="AC757" s="582"/>
      <c r="AD757" s="582"/>
      <c r="AE757" s="582"/>
      <c r="AI757" s="260"/>
    </row>
    <row r="758" spans="15:35">
      <c r="O758" s="259"/>
      <c r="P758" s="582"/>
      <c r="Q758" s="582"/>
      <c r="R758" s="582"/>
      <c r="S758" s="582"/>
      <c r="T758" s="582"/>
      <c r="U758" s="582"/>
      <c r="V758" s="582"/>
      <c r="W758" s="582"/>
      <c r="X758" s="582"/>
      <c r="Y758" s="582"/>
      <c r="Z758" s="582"/>
      <c r="AA758" s="582"/>
      <c r="AB758" s="260"/>
      <c r="AC758" s="582"/>
      <c r="AD758" s="582"/>
      <c r="AE758" s="582"/>
      <c r="AI758" s="260"/>
    </row>
    <row r="759" spans="15:35">
      <c r="O759" s="259"/>
      <c r="P759" s="582"/>
      <c r="Q759" s="582"/>
      <c r="R759" s="582"/>
      <c r="S759" s="582"/>
      <c r="T759" s="582"/>
      <c r="U759" s="582"/>
      <c r="V759" s="582"/>
      <c r="W759" s="582"/>
      <c r="X759" s="582"/>
      <c r="Y759" s="582"/>
      <c r="Z759" s="582"/>
      <c r="AA759" s="582"/>
      <c r="AB759" s="260"/>
      <c r="AC759" s="582"/>
      <c r="AD759" s="582"/>
      <c r="AE759" s="582"/>
      <c r="AI759" s="260"/>
    </row>
    <row r="760" spans="15:35">
      <c r="O760" s="259"/>
      <c r="P760" s="582"/>
      <c r="Q760" s="582"/>
      <c r="R760" s="582"/>
      <c r="S760" s="582"/>
      <c r="T760" s="582"/>
      <c r="U760" s="582"/>
      <c r="V760" s="582"/>
      <c r="W760" s="582"/>
      <c r="X760" s="582"/>
      <c r="Y760" s="582"/>
      <c r="Z760" s="582"/>
      <c r="AA760" s="582"/>
      <c r="AB760" s="260"/>
      <c r="AC760" s="582"/>
      <c r="AD760" s="582"/>
      <c r="AE760" s="582"/>
      <c r="AI760" s="260"/>
    </row>
    <row r="761" spans="15:35">
      <c r="O761" s="259"/>
      <c r="P761" s="582"/>
      <c r="Q761" s="582"/>
      <c r="R761" s="582"/>
      <c r="S761" s="582"/>
      <c r="T761" s="582"/>
      <c r="U761" s="582"/>
      <c r="V761" s="582"/>
      <c r="W761" s="582"/>
      <c r="X761" s="582"/>
      <c r="Y761" s="582"/>
      <c r="Z761" s="582"/>
      <c r="AA761" s="582"/>
      <c r="AB761" s="260"/>
      <c r="AC761" s="582"/>
      <c r="AD761" s="582"/>
      <c r="AE761" s="582"/>
      <c r="AI761" s="260"/>
    </row>
    <row r="762" spans="15:35">
      <c r="O762" s="259"/>
      <c r="P762" s="582"/>
      <c r="Q762" s="582"/>
      <c r="R762" s="582"/>
      <c r="S762" s="582"/>
      <c r="T762" s="582"/>
      <c r="U762" s="582"/>
      <c r="V762" s="582"/>
      <c r="W762" s="582"/>
      <c r="X762" s="582"/>
      <c r="Y762" s="582"/>
      <c r="Z762" s="582"/>
      <c r="AA762" s="582"/>
      <c r="AB762" s="260"/>
      <c r="AC762" s="582"/>
      <c r="AD762" s="582"/>
      <c r="AE762" s="582"/>
      <c r="AI762" s="260"/>
    </row>
    <row r="763" spans="15:35">
      <c r="O763" s="259"/>
      <c r="P763" s="582"/>
      <c r="Q763" s="582"/>
      <c r="R763" s="582"/>
      <c r="S763" s="582"/>
      <c r="T763" s="582"/>
      <c r="U763" s="582"/>
      <c r="V763" s="582"/>
      <c r="W763" s="582"/>
      <c r="X763" s="582"/>
      <c r="Y763" s="582"/>
      <c r="Z763" s="582"/>
      <c r="AA763" s="582"/>
      <c r="AB763" s="260"/>
      <c r="AC763" s="582"/>
      <c r="AD763" s="582"/>
      <c r="AE763" s="582"/>
      <c r="AI763" s="260"/>
    </row>
    <row r="764" spans="15:35">
      <c r="O764" s="259"/>
      <c r="P764" s="582"/>
      <c r="Q764" s="582"/>
      <c r="R764" s="582"/>
      <c r="S764" s="582"/>
      <c r="T764" s="582"/>
      <c r="U764" s="582"/>
      <c r="V764" s="582"/>
      <c r="W764" s="582"/>
      <c r="X764" s="582"/>
      <c r="Y764" s="582"/>
      <c r="Z764" s="582"/>
      <c r="AA764" s="582"/>
      <c r="AB764" s="260"/>
      <c r="AC764" s="582"/>
      <c r="AD764" s="582"/>
      <c r="AE764" s="582"/>
      <c r="AI764" s="260"/>
    </row>
    <row r="765" spans="15:35">
      <c r="O765" s="259"/>
      <c r="P765" s="582"/>
      <c r="Q765" s="582"/>
      <c r="R765" s="582"/>
      <c r="S765" s="582"/>
      <c r="T765" s="582"/>
      <c r="U765" s="582"/>
      <c r="V765" s="582"/>
      <c r="W765" s="582"/>
      <c r="X765" s="582"/>
      <c r="Y765" s="582"/>
      <c r="Z765" s="582"/>
      <c r="AA765" s="582"/>
      <c r="AB765" s="260"/>
      <c r="AC765" s="582"/>
      <c r="AD765" s="582"/>
      <c r="AE765" s="582"/>
      <c r="AI765" s="260"/>
    </row>
    <row r="766" spans="15:35">
      <c r="O766" s="259"/>
      <c r="P766" s="582"/>
      <c r="Q766" s="582"/>
      <c r="R766" s="582"/>
      <c r="S766" s="582"/>
      <c r="T766" s="582"/>
      <c r="U766" s="582"/>
      <c r="V766" s="582"/>
      <c r="W766" s="582"/>
      <c r="X766" s="582"/>
      <c r="Y766" s="582"/>
      <c r="Z766" s="582"/>
      <c r="AA766" s="582"/>
      <c r="AB766" s="260"/>
      <c r="AC766" s="582"/>
      <c r="AD766" s="582"/>
      <c r="AE766" s="582"/>
      <c r="AI766" s="260"/>
    </row>
    <row r="767" spans="15:35">
      <c r="O767" s="259"/>
      <c r="P767" s="582"/>
      <c r="Q767" s="582"/>
      <c r="R767" s="582"/>
      <c r="S767" s="582"/>
      <c r="T767" s="582"/>
      <c r="U767" s="582"/>
      <c r="V767" s="582"/>
      <c r="W767" s="582"/>
      <c r="X767" s="582"/>
      <c r="Y767" s="582"/>
      <c r="Z767" s="582"/>
      <c r="AA767" s="582"/>
      <c r="AB767" s="260"/>
      <c r="AC767" s="582"/>
      <c r="AD767" s="582"/>
      <c r="AE767" s="582"/>
      <c r="AI767" s="260"/>
    </row>
    <row r="768" spans="15:35">
      <c r="O768" s="259"/>
      <c r="P768" s="582"/>
      <c r="Q768" s="582"/>
      <c r="R768" s="582"/>
      <c r="S768" s="582"/>
      <c r="T768" s="582"/>
      <c r="U768" s="582"/>
      <c r="V768" s="582"/>
      <c r="W768" s="582"/>
      <c r="X768" s="582"/>
      <c r="Y768" s="582"/>
      <c r="Z768" s="582"/>
      <c r="AA768" s="582"/>
      <c r="AB768" s="260"/>
      <c r="AC768" s="582"/>
      <c r="AD768" s="582"/>
      <c r="AE768" s="582"/>
      <c r="AI768" s="260"/>
    </row>
    <row r="769" spans="15:35">
      <c r="O769" s="259"/>
      <c r="P769" s="582"/>
      <c r="Q769" s="582"/>
      <c r="R769" s="582"/>
      <c r="S769" s="582"/>
      <c r="T769" s="582"/>
      <c r="U769" s="582"/>
      <c r="V769" s="582"/>
      <c r="W769" s="582"/>
      <c r="X769" s="582"/>
      <c r="Y769" s="582"/>
      <c r="Z769" s="582"/>
      <c r="AA769" s="582"/>
      <c r="AB769" s="260"/>
      <c r="AC769" s="582"/>
      <c r="AD769" s="582"/>
      <c r="AE769" s="582"/>
      <c r="AI769" s="260"/>
    </row>
    <row r="770" spans="15:35">
      <c r="O770" s="259"/>
      <c r="P770" s="582"/>
      <c r="Q770" s="582"/>
      <c r="R770" s="582"/>
      <c r="S770" s="582"/>
      <c r="T770" s="582"/>
      <c r="U770" s="582"/>
      <c r="V770" s="582"/>
      <c r="W770" s="582"/>
      <c r="X770" s="582"/>
      <c r="Y770" s="582"/>
      <c r="Z770" s="582"/>
      <c r="AA770" s="582"/>
      <c r="AB770" s="260"/>
      <c r="AC770" s="582"/>
      <c r="AD770" s="582"/>
      <c r="AE770" s="582"/>
      <c r="AI770" s="260"/>
    </row>
    <row r="771" spans="15:35">
      <c r="O771" s="259"/>
      <c r="P771" s="582"/>
      <c r="Q771" s="582"/>
      <c r="R771" s="582"/>
      <c r="S771" s="582"/>
      <c r="T771" s="582"/>
      <c r="U771" s="582"/>
      <c r="V771" s="582"/>
      <c r="W771" s="582"/>
      <c r="X771" s="582"/>
      <c r="Y771" s="582"/>
      <c r="Z771" s="582"/>
      <c r="AA771" s="582"/>
      <c r="AB771" s="260"/>
      <c r="AC771" s="582"/>
      <c r="AD771" s="582"/>
      <c r="AE771" s="582"/>
      <c r="AI771" s="260"/>
    </row>
    <row r="772" spans="15:35">
      <c r="O772" s="259"/>
      <c r="P772" s="582"/>
      <c r="Q772" s="582"/>
      <c r="R772" s="582"/>
      <c r="S772" s="582"/>
      <c r="T772" s="582"/>
      <c r="U772" s="582"/>
      <c r="V772" s="582"/>
      <c r="W772" s="582"/>
      <c r="X772" s="582"/>
      <c r="Y772" s="582"/>
      <c r="Z772" s="582"/>
      <c r="AA772" s="582"/>
      <c r="AB772" s="260"/>
      <c r="AC772" s="582"/>
      <c r="AD772" s="582"/>
      <c r="AE772" s="582"/>
      <c r="AI772" s="260"/>
    </row>
    <row r="773" spans="15:35">
      <c r="O773" s="259"/>
      <c r="P773" s="582"/>
      <c r="Q773" s="582"/>
      <c r="R773" s="582"/>
      <c r="S773" s="582"/>
      <c r="T773" s="582"/>
      <c r="U773" s="582"/>
      <c r="V773" s="582"/>
      <c r="W773" s="582"/>
      <c r="X773" s="582"/>
      <c r="Y773" s="582"/>
      <c r="Z773" s="582"/>
      <c r="AA773" s="582"/>
      <c r="AB773" s="260"/>
      <c r="AC773" s="582"/>
      <c r="AD773" s="582"/>
      <c r="AE773" s="582"/>
      <c r="AI773" s="260"/>
    </row>
    <row r="774" spans="15:35">
      <c r="O774" s="259"/>
      <c r="P774" s="582"/>
      <c r="Q774" s="582"/>
      <c r="R774" s="582"/>
      <c r="S774" s="582"/>
      <c r="T774" s="582"/>
      <c r="U774" s="582"/>
      <c r="V774" s="582"/>
      <c r="W774" s="582"/>
      <c r="X774" s="582"/>
      <c r="Y774" s="582"/>
      <c r="Z774" s="582"/>
      <c r="AA774" s="582"/>
      <c r="AB774" s="260"/>
      <c r="AC774" s="582"/>
      <c r="AD774" s="582"/>
      <c r="AE774" s="582"/>
      <c r="AI774" s="260"/>
    </row>
    <row r="775" spans="15:35">
      <c r="O775" s="259"/>
      <c r="P775" s="582"/>
      <c r="Q775" s="582"/>
      <c r="R775" s="582"/>
      <c r="S775" s="582"/>
      <c r="T775" s="582"/>
      <c r="U775" s="582"/>
      <c r="V775" s="582"/>
      <c r="W775" s="582"/>
      <c r="X775" s="582"/>
      <c r="Y775" s="582"/>
      <c r="Z775" s="582"/>
      <c r="AA775" s="582"/>
      <c r="AB775" s="260"/>
      <c r="AC775" s="582"/>
      <c r="AD775" s="582"/>
      <c r="AE775" s="582"/>
      <c r="AI775" s="260"/>
    </row>
    <row r="776" spans="15:35">
      <c r="O776" s="259"/>
      <c r="P776" s="582"/>
      <c r="Q776" s="582"/>
      <c r="R776" s="582"/>
      <c r="S776" s="582"/>
      <c r="T776" s="582"/>
      <c r="U776" s="582"/>
      <c r="V776" s="582"/>
      <c r="W776" s="582"/>
      <c r="X776" s="582"/>
      <c r="Y776" s="582"/>
      <c r="Z776" s="582"/>
      <c r="AA776" s="582"/>
      <c r="AB776" s="260"/>
      <c r="AC776" s="582"/>
      <c r="AD776" s="582"/>
      <c r="AE776" s="582"/>
      <c r="AI776" s="260"/>
    </row>
    <row r="777" spans="15:35">
      <c r="O777" s="259"/>
      <c r="P777" s="582"/>
      <c r="Q777" s="582"/>
      <c r="R777" s="582"/>
      <c r="S777" s="582"/>
      <c r="T777" s="582"/>
      <c r="U777" s="582"/>
      <c r="V777" s="582"/>
      <c r="W777" s="582"/>
      <c r="X777" s="582"/>
      <c r="Y777" s="582"/>
      <c r="Z777" s="582"/>
      <c r="AA777" s="582"/>
      <c r="AB777" s="260"/>
      <c r="AC777" s="582"/>
      <c r="AD777" s="582"/>
      <c r="AE777" s="582"/>
      <c r="AI777" s="260"/>
    </row>
    <row r="778" spans="15:35">
      <c r="O778" s="259"/>
      <c r="P778" s="582"/>
      <c r="Q778" s="582"/>
      <c r="R778" s="582"/>
      <c r="S778" s="582"/>
      <c r="T778" s="582"/>
      <c r="U778" s="582"/>
      <c r="V778" s="582"/>
      <c r="W778" s="582"/>
      <c r="X778" s="582"/>
      <c r="Y778" s="582"/>
      <c r="Z778" s="582"/>
      <c r="AA778" s="582"/>
      <c r="AB778" s="260"/>
      <c r="AC778" s="582"/>
      <c r="AD778" s="582"/>
      <c r="AE778" s="582"/>
      <c r="AI778" s="260"/>
    </row>
    <row r="779" spans="15:35">
      <c r="O779" s="259"/>
      <c r="P779" s="582"/>
      <c r="Q779" s="582"/>
      <c r="R779" s="582"/>
      <c r="S779" s="582"/>
      <c r="T779" s="582"/>
      <c r="U779" s="582"/>
      <c r="V779" s="582"/>
      <c r="W779" s="582"/>
      <c r="X779" s="582"/>
      <c r="Y779" s="582"/>
      <c r="Z779" s="582"/>
      <c r="AA779" s="582"/>
      <c r="AB779" s="260"/>
      <c r="AC779" s="582"/>
      <c r="AD779" s="582"/>
      <c r="AE779" s="582"/>
      <c r="AI779" s="260"/>
    </row>
    <row r="780" spans="15:35">
      <c r="O780" s="259"/>
      <c r="P780" s="582"/>
      <c r="Q780" s="582"/>
      <c r="R780" s="582"/>
      <c r="S780" s="582"/>
      <c r="T780" s="582"/>
      <c r="U780" s="582"/>
      <c r="V780" s="582"/>
      <c r="W780" s="582"/>
      <c r="X780" s="582"/>
      <c r="Y780" s="582"/>
      <c r="Z780" s="582"/>
      <c r="AA780" s="582"/>
      <c r="AB780" s="260"/>
      <c r="AC780" s="582"/>
      <c r="AD780" s="582"/>
      <c r="AE780" s="582"/>
      <c r="AI780" s="260"/>
    </row>
    <row r="781" spans="15:35">
      <c r="O781" s="259"/>
      <c r="P781" s="582"/>
      <c r="Q781" s="582"/>
      <c r="R781" s="582"/>
      <c r="S781" s="582"/>
      <c r="T781" s="582"/>
      <c r="U781" s="582"/>
      <c r="V781" s="582"/>
      <c r="W781" s="582"/>
      <c r="X781" s="582"/>
      <c r="Y781" s="582"/>
      <c r="Z781" s="582"/>
      <c r="AA781" s="582"/>
      <c r="AB781" s="260"/>
      <c r="AC781" s="582"/>
      <c r="AD781" s="582"/>
      <c r="AE781" s="582"/>
      <c r="AI781" s="260"/>
    </row>
    <row r="782" spans="15:35">
      <c r="O782" s="259"/>
      <c r="P782" s="582"/>
      <c r="Q782" s="582"/>
      <c r="R782" s="582"/>
      <c r="S782" s="582"/>
      <c r="T782" s="582"/>
      <c r="U782" s="582"/>
      <c r="V782" s="582"/>
      <c r="W782" s="582"/>
      <c r="X782" s="582"/>
      <c r="Y782" s="582"/>
      <c r="Z782" s="582"/>
      <c r="AA782" s="582"/>
      <c r="AB782" s="260"/>
      <c r="AC782" s="582"/>
      <c r="AD782" s="582"/>
      <c r="AE782" s="582"/>
      <c r="AI782" s="260"/>
    </row>
    <row r="783" spans="15:35">
      <c r="O783" s="259"/>
      <c r="P783" s="582"/>
      <c r="Q783" s="582"/>
      <c r="R783" s="582"/>
      <c r="S783" s="582"/>
      <c r="T783" s="582"/>
      <c r="U783" s="582"/>
      <c r="V783" s="582"/>
      <c r="W783" s="582"/>
      <c r="X783" s="582"/>
      <c r="Y783" s="582"/>
      <c r="Z783" s="582"/>
      <c r="AA783" s="582"/>
      <c r="AB783" s="260"/>
      <c r="AC783" s="582"/>
      <c r="AD783" s="582"/>
      <c r="AE783" s="582"/>
      <c r="AI783" s="260"/>
    </row>
    <row r="784" spans="15:35">
      <c r="O784" s="259"/>
      <c r="P784" s="582"/>
      <c r="Q784" s="582"/>
      <c r="R784" s="582"/>
      <c r="S784" s="582"/>
      <c r="T784" s="582"/>
      <c r="U784" s="582"/>
      <c r="V784" s="582"/>
      <c r="W784" s="582"/>
      <c r="X784" s="582"/>
      <c r="Y784" s="582"/>
      <c r="Z784" s="582"/>
      <c r="AA784" s="582"/>
      <c r="AB784" s="260"/>
      <c r="AC784" s="582"/>
      <c r="AD784" s="582"/>
      <c r="AE784" s="582"/>
      <c r="AI784" s="260"/>
    </row>
    <row r="785" spans="15:35">
      <c r="O785" s="259"/>
      <c r="P785" s="582"/>
      <c r="Q785" s="582"/>
      <c r="R785" s="582"/>
      <c r="S785" s="582"/>
      <c r="T785" s="582"/>
      <c r="U785" s="582"/>
      <c r="V785" s="582"/>
      <c r="W785" s="582"/>
      <c r="X785" s="582"/>
      <c r="Y785" s="582"/>
      <c r="Z785" s="582"/>
      <c r="AA785" s="582"/>
      <c r="AB785" s="260"/>
      <c r="AC785" s="582"/>
      <c r="AD785" s="582"/>
      <c r="AE785" s="582"/>
      <c r="AI785" s="260"/>
    </row>
    <row r="786" spans="15:35">
      <c r="O786" s="259"/>
      <c r="P786" s="582"/>
      <c r="Q786" s="582"/>
      <c r="R786" s="582"/>
      <c r="S786" s="582"/>
      <c r="T786" s="582"/>
      <c r="U786" s="582"/>
      <c r="V786" s="582"/>
      <c r="W786" s="582"/>
      <c r="X786" s="582"/>
      <c r="Y786" s="582"/>
      <c r="Z786" s="582"/>
      <c r="AA786" s="582"/>
      <c r="AB786" s="260"/>
      <c r="AC786" s="582"/>
      <c r="AD786" s="582"/>
      <c r="AE786" s="582"/>
      <c r="AI786" s="260"/>
    </row>
    <row r="787" spans="15:35">
      <c r="O787" s="259"/>
      <c r="P787" s="582"/>
      <c r="Q787" s="582"/>
      <c r="R787" s="582"/>
      <c r="S787" s="582"/>
      <c r="T787" s="582"/>
      <c r="U787" s="582"/>
      <c r="V787" s="582"/>
      <c r="W787" s="582"/>
      <c r="X787" s="582"/>
      <c r="Y787" s="582"/>
      <c r="Z787" s="582"/>
      <c r="AA787" s="582"/>
      <c r="AB787" s="260"/>
      <c r="AC787" s="582"/>
      <c r="AD787" s="582"/>
      <c r="AE787" s="582"/>
      <c r="AI787" s="260"/>
    </row>
    <row r="788" spans="15:35">
      <c r="O788" s="259"/>
      <c r="P788" s="582"/>
      <c r="Q788" s="582"/>
      <c r="R788" s="582"/>
      <c r="S788" s="582"/>
      <c r="T788" s="582"/>
      <c r="U788" s="582"/>
      <c r="V788" s="582"/>
      <c r="W788" s="582"/>
      <c r="X788" s="582"/>
      <c r="Y788" s="582"/>
      <c r="Z788" s="582"/>
      <c r="AA788" s="582"/>
      <c r="AB788" s="260"/>
      <c r="AC788" s="582"/>
      <c r="AD788" s="582"/>
      <c r="AE788" s="582"/>
      <c r="AI788" s="260"/>
    </row>
    <row r="789" spans="15:35">
      <c r="O789" s="259"/>
      <c r="P789" s="582"/>
      <c r="Q789" s="582"/>
      <c r="R789" s="582"/>
      <c r="S789" s="582"/>
      <c r="T789" s="582"/>
      <c r="U789" s="582"/>
      <c r="V789" s="582"/>
      <c r="W789" s="582"/>
      <c r="X789" s="582"/>
      <c r="Y789" s="582"/>
      <c r="Z789" s="582"/>
      <c r="AA789" s="582"/>
      <c r="AB789" s="260"/>
      <c r="AC789" s="582"/>
      <c r="AD789" s="582"/>
      <c r="AE789" s="582"/>
      <c r="AI789" s="260"/>
    </row>
    <row r="790" spans="15:35">
      <c r="O790" s="259"/>
      <c r="P790" s="582"/>
      <c r="Q790" s="582"/>
      <c r="R790" s="582"/>
      <c r="S790" s="582"/>
      <c r="T790" s="582"/>
      <c r="U790" s="582"/>
      <c r="V790" s="582"/>
      <c r="W790" s="582"/>
      <c r="X790" s="582"/>
      <c r="Y790" s="582"/>
      <c r="Z790" s="582"/>
      <c r="AA790" s="582"/>
      <c r="AB790" s="260"/>
      <c r="AC790" s="582"/>
      <c r="AD790" s="582"/>
      <c r="AE790" s="582"/>
      <c r="AI790" s="260"/>
    </row>
    <row r="791" spans="15:35">
      <c r="O791" s="259"/>
      <c r="P791" s="582"/>
      <c r="Q791" s="582"/>
      <c r="R791" s="582"/>
      <c r="S791" s="582"/>
      <c r="T791" s="582"/>
      <c r="U791" s="582"/>
      <c r="V791" s="582"/>
      <c r="W791" s="582"/>
      <c r="X791" s="582"/>
      <c r="Y791" s="582"/>
      <c r="Z791" s="582"/>
      <c r="AA791" s="582"/>
      <c r="AB791" s="260"/>
      <c r="AC791" s="582"/>
      <c r="AD791" s="582"/>
      <c r="AE791" s="582"/>
      <c r="AI791" s="260"/>
    </row>
    <row r="792" spans="15:35">
      <c r="O792" s="259"/>
      <c r="P792" s="582"/>
      <c r="Q792" s="582"/>
      <c r="R792" s="582"/>
      <c r="S792" s="582"/>
      <c r="T792" s="582"/>
      <c r="U792" s="582"/>
      <c r="V792" s="582"/>
      <c r="W792" s="582"/>
      <c r="X792" s="582"/>
      <c r="Y792" s="582"/>
      <c r="Z792" s="582"/>
      <c r="AA792" s="582"/>
      <c r="AB792" s="260"/>
      <c r="AC792" s="582"/>
      <c r="AD792" s="582"/>
      <c r="AE792" s="582"/>
      <c r="AI792" s="260"/>
    </row>
    <row r="793" spans="15:35">
      <c r="O793" s="259"/>
      <c r="P793" s="582"/>
      <c r="Q793" s="582"/>
      <c r="R793" s="582"/>
      <c r="S793" s="582"/>
      <c r="T793" s="582"/>
      <c r="U793" s="582"/>
      <c r="V793" s="582"/>
      <c r="W793" s="582"/>
      <c r="X793" s="582"/>
      <c r="Y793" s="582"/>
      <c r="Z793" s="582"/>
      <c r="AA793" s="582"/>
      <c r="AB793" s="260"/>
      <c r="AC793" s="582"/>
      <c r="AD793" s="582"/>
      <c r="AE793" s="582"/>
      <c r="AI793" s="260"/>
    </row>
    <row r="794" spans="15:35">
      <c r="O794" s="259"/>
      <c r="P794" s="582"/>
      <c r="Q794" s="582"/>
      <c r="R794" s="582"/>
      <c r="S794" s="582"/>
      <c r="T794" s="582"/>
      <c r="U794" s="582"/>
      <c r="V794" s="582"/>
      <c r="W794" s="582"/>
      <c r="X794" s="582"/>
      <c r="Y794" s="582"/>
      <c r="Z794" s="582"/>
      <c r="AA794" s="582"/>
      <c r="AB794" s="260"/>
      <c r="AC794" s="582"/>
      <c r="AD794" s="582"/>
      <c r="AE794" s="582"/>
      <c r="AI794" s="260"/>
    </row>
    <row r="795" spans="15:35">
      <c r="O795" s="259"/>
      <c r="P795" s="582"/>
      <c r="Q795" s="582"/>
      <c r="R795" s="582"/>
      <c r="S795" s="582"/>
      <c r="T795" s="582"/>
      <c r="U795" s="582"/>
      <c r="V795" s="582"/>
      <c r="W795" s="582"/>
      <c r="X795" s="582"/>
      <c r="Y795" s="582"/>
      <c r="Z795" s="582"/>
      <c r="AA795" s="582"/>
      <c r="AB795" s="260"/>
      <c r="AC795" s="582"/>
      <c r="AD795" s="582"/>
      <c r="AE795" s="582"/>
      <c r="AI795" s="260"/>
    </row>
    <row r="796" spans="15:35">
      <c r="O796" s="259"/>
      <c r="P796" s="582"/>
      <c r="Q796" s="582"/>
      <c r="R796" s="582"/>
      <c r="S796" s="582"/>
      <c r="T796" s="582"/>
      <c r="U796" s="582"/>
      <c r="V796" s="582"/>
      <c r="W796" s="582"/>
      <c r="X796" s="582"/>
      <c r="Y796" s="582"/>
      <c r="Z796" s="582"/>
      <c r="AA796" s="582"/>
      <c r="AB796" s="260"/>
      <c r="AC796" s="582"/>
      <c r="AD796" s="582"/>
      <c r="AE796" s="582"/>
      <c r="AI796" s="260"/>
    </row>
    <row r="797" spans="15:35">
      <c r="O797" s="259"/>
      <c r="P797" s="582"/>
      <c r="Q797" s="582"/>
      <c r="R797" s="582"/>
      <c r="S797" s="582"/>
      <c r="T797" s="582"/>
      <c r="U797" s="582"/>
      <c r="V797" s="582"/>
      <c r="W797" s="582"/>
      <c r="X797" s="582"/>
      <c r="Y797" s="582"/>
      <c r="Z797" s="582"/>
      <c r="AA797" s="582"/>
      <c r="AB797" s="260"/>
      <c r="AC797" s="582"/>
      <c r="AD797" s="582"/>
      <c r="AE797" s="582"/>
      <c r="AI797" s="260"/>
    </row>
    <row r="798" spans="15:35">
      <c r="O798" s="259"/>
      <c r="P798" s="582"/>
      <c r="Q798" s="582"/>
      <c r="R798" s="582"/>
      <c r="S798" s="582"/>
      <c r="T798" s="582"/>
      <c r="U798" s="582"/>
      <c r="V798" s="582"/>
      <c r="W798" s="582"/>
      <c r="X798" s="582"/>
      <c r="Y798" s="582"/>
      <c r="Z798" s="582"/>
      <c r="AA798" s="582"/>
      <c r="AB798" s="260"/>
      <c r="AC798" s="582"/>
      <c r="AD798" s="582"/>
      <c r="AE798" s="582"/>
      <c r="AI798" s="260"/>
    </row>
    <row r="799" spans="15:35">
      <c r="O799" s="259"/>
      <c r="P799" s="582"/>
      <c r="Q799" s="582"/>
      <c r="R799" s="582"/>
      <c r="S799" s="582"/>
      <c r="T799" s="582"/>
      <c r="U799" s="582"/>
      <c r="V799" s="582"/>
      <c r="W799" s="582"/>
      <c r="X799" s="582"/>
      <c r="Y799" s="582"/>
      <c r="Z799" s="582"/>
      <c r="AA799" s="582"/>
      <c r="AB799" s="260"/>
      <c r="AC799" s="582"/>
      <c r="AD799" s="582"/>
      <c r="AE799" s="582"/>
      <c r="AI799" s="260"/>
    </row>
    <row r="800" spans="15:35">
      <c r="O800" s="259"/>
      <c r="P800" s="582"/>
      <c r="Q800" s="582"/>
      <c r="R800" s="582"/>
      <c r="S800" s="582"/>
      <c r="T800" s="582"/>
      <c r="U800" s="582"/>
      <c r="V800" s="582"/>
      <c r="W800" s="582"/>
      <c r="X800" s="582"/>
      <c r="Y800" s="582"/>
      <c r="Z800" s="582"/>
      <c r="AA800" s="582"/>
      <c r="AB800" s="260"/>
      <c r="AC800" s="582"/>
      <c r="AD800" s="582"/>
      <c r="AE800" s="582"/>
      <c r="AI800" s="260"/>
    </row>
    <row r="801" spans="15:35">
      <c r="O801" s="259"/>
      <c r="P801" s="582"/>
      <c r="Q801" s="582"/>
      <c r="R801" s="582"/>
      <c r="S801" s="582"/>
      <c r="T801" s="582"/>
      <c r="U801" s="582"/>
      <c r="V801" s="582"/>
      <c r="W801" s="582"/>
      <c r="X801" s="582"/>
      <c r="Y801" s="582"/>
      <c r="Z801" s="582"/>
      <c r="AA801" s="582"/>
      <c r="AB801" s="260"/>
      <c r="AC801" s="582"/>
      <c r="AD801" s="582"/>
      <c r="AE801" s="582"/>
      <c r="AI801" s="260"/>
    </row>
    <row r="802" spans="15:35">
      <c r="O802" s="259"/>
      <c r="P802" s="582"/>
      <c r="Q802" s="582"/>
      <c r="R802" s="582"/>
      <c r="S802" s="582"/>
      <c r="T802" s="582"/>
      <c r="U802" s="582"/>
      <c r="V802" s="582"/>
      <c r="W802" s="582"/>
      <c r="X802" s="582"/>
      <c r="Y802" s="582"/>
      <c r="Z802" s="582"/>
      <c r="AA802" s="582"/>
      <c r="AB802" s="260"/>
      <c r="AC802" s="582"/>
      <c r="AD802" s="582"/>
      <c r="AE802" s="582"/>
      <c r="AI802" s="260"/>
    </row>
    <row r="803" spans="15:35">
      <c r="O803" s="259"/>
      <c r="P803" s="582"/>
      <c r="Q803" s="582"/>
      <c r="R803" s="582"/>
      <c r="S803" s="582"/>
      <c r="T803" s="582"/>
      <c r="U803" s="582"/>
      <c r="V803" s="582"/>
      <c r="W803" s="582"/>
      <c r="X803" s="582"/>
      <c r="Y803" s="582"/>
      <c r="Z803" s="582"/>
      <c r="AA803" s="582"/>
      <c r="AB803" s="260"/>
      <c r="AC803" s="582"/>
      <c r="AD803" s="582"/>
      <c r="AE803" s="582"/>
      <c r="AI803" s="260"/>
    </row>
    <row r="804" spans="15:35">
      <c r="O804" s="259"/>
      <c r="P804" s="582"/>
      <c r="Q804" s="582"/>
      <c r="R804" s="582"/>
      <c r="S804" s="582"/>
      <c r="T804" s="582"/>
      <c r="U804" s="582"/>
      <c r="V804" s="582"/>
      <c r="W804" s="582"/>
      <c r="X804" s="582"/>
      <c r="Y804" s="582"/>
      <c r="Z804" s="582"/>
      <c r="AA804" s="582"/>
      <c r="AB804" s="260"/>
      <c r="AC804" s="582"/>
      <c r="AD804" s="582"/>
      <c r="AE804" s="582"/>
      <c r="AI804" s="260"/>
    </row>
    <row r="805" spans="15:35">
      <c r="O805" s="259"/>
      <c r="P805" s="582"/>
      <c r="Q805" s="582"/>
      <c r="R805" s="582"/>
      <c r="S805" s="582"/>
      <c r="T805" s="582"/>
      <c r="U805" s="582"/>
      <c r="V805" s="582"/>
      <c r="W805" s="582"/>
      <c r="X805" s="582"/>
      <c r="Y805" s="582"/>
      <c r="Z805" s="582"/>
      <c r="AA805" s="582"/>
      <c r="AB805" s="260"/>
      <c r="AC805" s="582"/>
      <c r="AD805" s="582"/>
      <c r="AE805" s="582"/>
      <c r="AI805" s="260"/>
    </row>
    <row r="806" spans="15:35">
      <c r="O806" s="259"/>
      <c r="P806" s="582"/>
      <c r="Q806" s="582"/>
      <c r="R806" s="582"/>
      <c r="S806" s="582"/>
      <c r="T806" s="582"/>
      <c r="U806" s="582"/>
      <c r="V806" s="582"/>
      <c r="W806" s="582"/>
      <c r="X806" s="582"/>
      <c r="Y806" s="582"/>
      <c r="Z806" s="582"/>
      <c r="AA806" s="582"/>
      <c r="AB806" s="260"/>
      <c r="AC806" s="582"/>
      <c r="AD806" s="582"/>
      <c r="AE806" s="582"/>
      <c r="AI806" s="260"/>
    </row>
    <row r="807" spans="15:35">
      <c r="O807" s="259"/>
      <c r="P807" s="582"/>
      <c r="Q807" s="582"/>
      <c r="R807" s="582"/>
      <c r="S807" s="582"/>
      <c r="T807" s="582"/>
      <c r="U807" s="582"/>
      <c r="V807" s="582"/>
      <c r="W807" s="582"/>
      <c r="X807" s="582"/>
      <c r="Y807" s="582"/>
      <c r="Z807" s="582"/>
      <c r="AA807" s="582"/>
      <c r="AB807" s="260"/>
      <c r="AC807" s="582"/>
      <c r="AD807" s="582"/>
      <c r="AE807" s="582"/>
      <c r="AI807" s="260"/>
    </row>
    <row r="808" spans="15:35">
      <c r="O808" s="259"/>
      <c r="P808" s="582"/>
      <c r="Q808" s="582"/>
      <c r="R808" s="582"/>
      <c r="S808" s="582"/>
      <c r="T808" s="582"/>
      <c r="U808" s="582"/>
      <c r="V808" s="582"/>
      <c r="W808" s="582"/>
      <c r="X808" s="582"/>
      <c r="Y808" s="582"/>
      <c r="Z808" s="582"/>
      <c r="AA808" s="582"/>
      <c r="AB808" s="260"/>
      <c r="AC808" s="582"/>
      <c r="AD808" s="582"/>
      <c r="AE808" s="582"/>
      <c r="AI808" s="260"/>
    </row>
    <row r="809" spans="15:35">
      <c r="O809" s="259"/>
      <c r="P809" s="582"/>
      <c r="Q809" s="582"/>
      <c r="R809" s="582"/>
      <c r="S809" s="582"/>
      <c r="T809" s="582"/>
      <c r="U809" s="582"/>
      <c r="V809" s="582"/>
      <c r="W809" s="582"/>
      <c r="X809" s="582"/>
      <c r="Y809" s="582"/>
      <c r="Z809" s="582"/>
      <c r="AA809" s="582"/>
      <c r="AB809" s="260"/>
      <c r="AC809" s="582"/>
      <c r="AD809" s="582"/>
      <c r="AE809" s="582"/>
      <c r="AI809" s="260"/>
    </row>
    <row r="810" spans="15:35">
      <c r="O810" s="259"/>
      <c r="P810" s="582"/>
      <c r="Q810" s="582"/>
      <c r="R810" s="582"/>
      <c r="S810" s="582"/>
      <c r="T810" s="582"/>
      <c r="U810" s="582"/>
      <c r="V810" s="582"/>
      <c r="W810" s="582"/>
      <c r="X810" s="582"/>
      <c r="Y810" s="582"/>
      <c r="Z810" s="582"/>
      <c r="AA810" s="582"/>
      <c r="AB810" s="260"/>
      <c r="AC810" s="582"/>
      <c r="AD810" s="582"/>
      <c r="AE810" s="582"/>
      <c r="AI810" s="260"/>
    </row>
    <row r="811" spans="15:35">
      <c r="O811" s="259"/>
      <c r="P811" s="582"/>
      <c r="Q811" s="582"/>
      <c r="R811" s="582"/>
      <c r="S811" s="582"/>
      <c r="T811" s="582"/>
      <c r="U811" s="582"/>
      <c r="V811" s="582"/>
      <c r="W811" s="582"/>
      <c r="X811" s="582"/>
      <c r="Y811" s="582"/>
      <c r="Z811" s="582"/>
      <c r="AA811" s="582"/>
      <c r="AB811" s="260"/>
      <c r="AC811" s="582"/>
      <c r="AD811" s="582"/>
      <c r="AE811" s="582"/>
      <c r="AI811" s="260"/>
    </row>
    <row r="812" spans="15:35">
      <c r="O812" s="259"/>
      <c r="P812" s="582"/>
      <c r="Q812" s="582"/>
      <c r="R812" s="582"/>
      <c r="S812" s="582"/>
      <c r="T812" s="582"/>
      <c r="U812" s="582"/>
      <c r="V812" s="582"/>
      <c r="W812" s="582"/>
      <c r="X812" s="582"/>
      <c r="Y812" s="582"/>
      <c r="Z812" s="582"/>
      <c r="AA812" s="582"/>
      <c r="AB812" s="260"/>
      <c r="AC812" s="582"/>
      <c r="AD812" s="582"/>
      <c r="AE812" s="582"/>
      <c r="AI812" s="260"/>
    </row>
    <row r="813" spans="15:35">
      <c r="O813" s="259"/>
      <c r="P813" s="582"/>
      <c r="Q813" s="582"/>
      <c r="R813" s="582"/>
      <c r="S813" s="582"/>
      <c r="T813" s="582"/>
      <c r="U813" s="582"/>
      <c r="V813" s="582"/>
      <c r="W813" s="582"/>
      <c r="X813" s="582"/>
      <c r="Y813" s="582"/>
      <c r="Z813" s="582"/>
      <c r="AA813" s="582"/>
      <c r="AB813" s="260"/>
      <c r="AC813" s="582"/>
      <c r="AD813" s="582"/>
      <c r="AE813" s="582"/>
      <c r="AI813" s="260"/>
    </row>
    <row r="814" spans="15:35">
      <c r="O814" s="259"/>
      <c r="P814" s="582"/>
      <c r="Q814" s="582"/>
      <c r="R814" s="582"/>
      <c r="S814" s="582"/>
      <c r="T814" s="582"/>
      <c r="U814" s="582"/>
      <c r="V814" s="582"/>
      <c r="W814" s="582"/>
      <c r="X814" s="582"/>
      <c r="Y814" s="582"/>
      <c r="Z814" s="582"/>
      <c r="AA814" s="582"/>
      <c r="AB814" s="260"/>
      <c r="AC814" s="582"/>
      <c r="AD814" s="582"/>
      <c r="AE814" s="582"/>
      <c r="AI814" s="260"/>
    </row>
    <row r="815" spans="15:35">
      <c r="O815" s="259"/>
      <c r="P815" s="582"/>
      <c r="Q815" s="582"/>
      <c r="R815" s="582"/>
      <c r="S815" s="582"/>
      <c r="T815" s="582"/>
      <c r="U815" s="582"/>
      <c r="V815" s="582"/>
      <c r="W815" s="582"/>
      <c r="X815" s="582"/>
      <c r="Y815" s="582"/>
      <c r="Z815" s="582"/>
      <c r="AA815" s="582"/>
      <c r="AB815" s="260"/>
      <c r="AC815" s="582"/>
      <c r="AD815" s="582"/>
      <c r="AE815" s="582"/>
      <c r="AI815" s="260"/>
    </row>
    <row r="816" spans="15:35">
      <c r="O816" s="259"/>
      <c r="P816" s="582"/>
      <c r="Q816" s="582"/>
      <c r="R816" s="582"/>
      <c r="S816" s="582"/>
      <c r="T816" s="582"/>
      <c r="U816" s="582"/>
      <c r="V816" s="582"/>
      <c r="W816" s="582"/>
      <c r="X816" s="582"/>
      <c r="Y816" s="582"/>
      <c r="Z816" s="582"/>
      <c r="AA816" s="582"/>
      <c r="AB816" s="260"/>
      <c r="AC816" s="582"/>
      <c r="AD816" s="582"/>
      <c r="AE816" s="582"/>
      <c r="AI816" s="260"/>
    </row>
    <row r="817" spans="15:35">
      <c r="O817" s="259"/>
      <c r="P817" s="582"/>
      <c r="Q817" s="582"/>
      <c r="R817" s="582"/>
      <c r="S817" s="582"/>
      <c r="T817" s="582"/>
      <c r="U817" s="582"/>
      <c r="V817" s="582"/>
      <c r="W817" s="582"/>
      <c r="X817" s="582"/>
      <c r="Y817" s="582"/>
      <c r="Z817" s="582"/>
      <c r="AA817" s="582"/>
      <c r="AB817" s="260"/>
      <c r="AC817" s="582"/>
      <c r="AD817" s="582"/>
      <c r="AE817" s="582"/>
      <c r="AI817" s="260"/>
    </row>
    <row r="818" spans="15:35">
      <c r="O818" s="259"/>
      <c r="P818" s="582"/>
      <c r="Q818" s="582"/>
      <c r="R818" s="582"/>
      <c r="S818" s="582"/>
      <c r="T818" s="582"/>
      <c r="U818" s="582"/>
      <c r="V818" s="582"/>
      <c r="W818" s="582"/>
      <c r="X818" s="582"/>
      <c r="Y818" s="582"/>
      <c r="Z818" s="582"/>
      <c r="AA818" s="582"/>
      <c r="AB818" s="260"/>
      <c r="AC818" s="582"/>
      <c r="AD818" s="582"/>
      <c r="AE818" s="582"/>
      <c r="AI818" s="260"/>
    </row>
    <row r="819" spans="15:35">
      <c r="O819" s="259"/>
      <c r="P819" s="582"/>
      <c r="Q819" s="582"/>
      <c r="R819" s="582"/>
      <c r="S819" s="582"/>
      <c r="T819" s="582"/>
      <c r="U819" s="582"/>
      <c r="V819" s="582"/>
      <c r="W819" s="582"/>
      <c r="X819" s="582"/>
      <c r="Y819" s="582"/>
      <c r="Z819" s="582"/>
      <c r="AA819" s="582"/>
      <c r="AB819" s="260"/>
      <c r="AC819" s="582"/>
      <c r="AD819" s="582"/>
      <c r="AE819" s="582"/>
      <c r="AI819" s="260"/>
    </row>
    <row r="820" spans="15:35">
      <c r="O820" s="259"/>
      <c r="P820" s="582"/>
      <c r="Q820" s="582"/>
      <c r="R820" s="582"/>
      <c r="S820" s="582"/>
      <c r="T820" s="582"/>
      <c r="U820" s="582"/>
      <c r="V820" s="582"/>
      <c r="W820" s="582"/>
      <c r="X820" s="582"/>
      <c r="Y820" s="582"/>
      <c r="Z820" s="582"/>
      <c r="AA820" s="582"/>
      <c r="AB820" s="260"/>
      <c r="AC820" s="582"/>
      <c r="AD820" s="582"/>
      <c r="AE820" s="582"/>
      <c r="AI820" s="260"/>
    </row>
    <row r="821" spans="15:35">
      <c r="O821" s="259"/>
      <c r="P821" s="582"/>
      <c r="Q821" s="582"/>
      <c r="R821" s="582"/>
      <c r="S821" s="582"/>
      <c r="T821" s="582"/>
      <c r="U821" s="582"/>
      <c r="V821" s="582"/>
      <c r="W821" s="582"/>
      <c r="X821" s="582"/>
      <c r="Y821" s="582"/>
      <c r="Z821" s="582"/>
      <c r="AA821" s="582"/>
      <c r="AB821" s="260"/>
      <c r="AC821" s="582"/>
      <c r="AD821" s="582"/>
      <c r="AE821" s="582"/>
      <c r="AI821" s="260"/>
    </row>
    <row r="822" spans="15:35">
      <c r="O822" s="259"/>
      <c r="P822" s="582"/>
      <c r="Q822" s="582"/>
      <c r="R822" s="582"/>
      <c r="S822" s="582"/>
      <c r="T822" s="582"/>
      <c r="U822" s="582"/>
      <c r="V822" s="582"/>
      <c r="W822" s="582"/>
      <c r="X822" s="582"/>
      <c r="Y822" s="582"/>
      <c r="Z822" s="582"/>
      <c r="AA822" s="582"/>
      <c r="AB822" s="260"/>
      <c r="AC822" s="582"/>
      <c r="AD822" s="582"/>
      <c r="AE822" s="582"/>
      <c r="AI822" s="260"/>
    </row>
    <row r="823" spans="15:35">
      <c r="O823" s="259"/>
      <c r="P823" s="582"/>
      <c r="Q823" s="582"/>
      <c r="R823" s="582"/>
      <c r="S823" s="582"/>
      <c r="T823" s="582"/>
      <c r="U823" s="582"/>
      <c r="V823" s="582"/>
      <c r="W823" s="582"/>
      <c r="X823" s="582"/>
      <c r="Y823" s="582"/>
      <c r="Z823" s="582"/>
      <c r="AA823" s="582"/>
      <c r="AB823" s="260"/>
      <c r="AC823" s="582"/>
      <c r="AD823" s="582"/>
      <c r="AE823" s="582"/>
      <c r="AI823" s="260"/>
    </row>
    <row r="824" spans="15:35">
      <c r="O824" s="259"/>
      <c r="P824" s="582"/>
      <c r="Q824" s="582"/>
      <c r="R824" s="582"/>
      <c r="S824" s="582"/>
      <c r="T824" s="582"/>
      <c r="U824" s="582"/>
      <c r="V824" s="582"/>
      <c r="W824" s="582"/>
      <c r="X824" s="582"/>
      <c r="Y824" s="582"/>
      <c r="Z824" s="582"/>
      <c r="AA824" s="582"/>
      <c r="AB824" s="260"/>
      <c r="AC824" s="582"/>
      <c r="AD824" s="582"/>
      <c r="AE824" s="582"/>
      <c r="AI824" s="260"/>
    </row>
    <row r="825" spans="15:35">
      <c r="O825" s="259"/>
      <c r="P825" s="582"/>
      <c r="Q825" s="582"/>
      <c r="R825" s="582"/>
      <c r="S825" s="582"/>
      <c r="T825" s="582"/>
      <c r="U825" s="582"/>
      <c r="V825" s="582"/>
      <c r="W825" s="582"/>
      <c r="X825" s="582"/>
      <c r="Y825" s="582"/>
      <c r="Z825" s="582"/>
      <c r="AA825" s="582"/>
      <c r="AB825" s="260"/>
      <c r="AC825" s="582"/>
      <c r="AD825" s="582"/>
      <c r="AE825" s="582"/>
      <c r="AI825" s="260"/>
    </row>
    <row r="826" spans="15:35">
      <c r="O826" s="259"/>
      <c r="P826" s="582"/>
      <c r="Q826" s="582"/>
      <c r="R826" s="582"/>
      <c r="S826" s="582"/>
      <c r="T826" s="582"/>
      <c r="U826" s="582"/>
      <c r="V826" s="582"/>
      <c r="W826" s="582"/>
      <c r="X826" s="582"/>
      <c r="Y826" s="582"/>
      <c r="Z826" s="582"/>
      <c r="AA826" s="582"/>
      <c r="AB826" s="260"/>
      <c r="AC826" s="582"/>
      <c r="AD826" s="582"/>
      <c r="AE826" s="582"/>
      <c r="AI826" s="260"/>
    </row>
    <row r="827" spans="15:35">
      <c r="O827" s="259"/>
      <c r="P827" s="582"/>
      <c r="Q827" s="582"/>
      <c r="R827" s="582"/>
      <c r="S827" s="582"/>
      <c r="T827" s="582"/>
      <c r="U827" s="582"/>
      <c r="V827" s="582"/>
      <c r="W827" s="582"/>
      <c r="X827" s="582"/>
      <c r="Y827" s="582"/>
      <c r="Z827" s="582"/>
      <c r="AA827" s="582"/>
      <c r="AB827" s="260"/>
      <c r="AC827" s="582"/>
      <c r="AD827" s="582"/>
      <c r="AE827" s="582"/>
      <c r="AI827" s="260"/>
    </row>
    <row r="828" spans="15:35">
      <c r="O828" s="259"/>
      <c r="P828" s="582"/>
      <c r="Q828" s="582"/>
      <c r="R828" s="582"/>
      <c r="S828" s="582"/>
      <c r="T828" s="582"/>
      <c r="U828" s="582"/>
      <c r="V828" s="582"/>
      <c r="W828" s="582"/>
      <c r="X828" s="582"/>
      <c r="Y828" s="582"/>
      <c r="Z828" s="582"/>
      <c r="AA828" s="582"/>
      <c r="AB828" s="260"/>
      <c r="AC828" s="582"/>
      <c r="AD828" s="582"/>
      <c r="AE828" s="582"/>
      <c r="AI828" s="260"/>
    </row>
    <row r="829" spans="15:35">
      <c r="O829" s="259"/>
      <c r="P829" s="582"/>
      <c r="Q829" s="582"/>
      <c r="R829" s="582"/>
      <c r="S829" s="582"/>
      <c r="T829" s="582"/>
      <c r="U829" s="582"/>
      <c r="V829" s="582"/>
      <c r="W829" s="582"/>
      <c r="X829" s="582"/>
      <c r="Y829" s="582"/>
      <c r="Z829" s="582"/>
      <c r="AA829" s="582"/>
      <c r="AB829" s="260"/>
      <c r="AC829" s="582"/>
      <c r="AD829" s="582"/>
      <c r="AE829" s="582"/>
      <c r="AI829" s="260"/>
    </row>
    <row r="830" spans="15:35">
      <c r="O830" s="259"/>
      <c r="P830" s="582"/>
      <c r="Q830" s="582"/>
      <c r="R830" s="582"/>
      <c r="S830" s="582"/>
      <c r="T830" s="582"/>
      <c r="U830" s="582"/>
      <c r="V830" s="582"/>
      <c r="W830" s="582"/>
      <c r="X830" s="582"/>
      <c r="Y830" s="582"/>
      <c r="Z830" s="582"/>
      <c r="AA830" s="582"/>
      <c r="AB830" s="260"/>
      <c r="AC830" s="582"/>
      <c r="AD830" s="582"/>
      <c r="AE830" s="582"/>
      <c r="AI830" s="260"/>
    </row>
    <row r="831" spans="15:35">
      <c r="O831" s="259"/>
      <c r="P831" s="582"/>
      <c r="Q831" s="582"/>
      <c r="R831" s="582"/>
      <c r="S831" s="582"/>
      <c r="T831" s="582"/>
      <c r="U831" s="582"/>
      <c r="V831" s="582"/>
      <c r="W831" s="582"/>
      <c r="X831" s="582"/>
      <c r="Y831" s="582"/>
      <c r="Z831" s="582"/>
      <c r="AA831" s="582"/>
      <c r="AB831" s="260"/>
      <c r="AC831" s="582"/>
      <c r="AD831" s="582"/>
      <c r="AE831" s="582"/>
      <c r="AI831" s="260"/>
    </row>
    <row r="832" spans="15:35">
      <c r="O832" s="259"/>
      <c r="P832" s="582"/>
      <c r="Q832" s="582"/>
      <c r="R832" s="582"/>
      <c r="S832" s="582"/>
      <c r="T832" s="582"/>
      <c r="U832" s="582"/>
      <c r="V832" s="582"/>
      <c r="W832" s="582"/>
      <c r="X832" s="582"/>
      <c r="Y832" s="582"/>
      <c r="Z832" s="582"/>
      <c r="AA832" s="582"/>
      <c r="AB832" s="260"/>
      <c r="AC832" s="582"/>
      <c r="AD832" s="582"/>
      <c r="AE832" s="582"/>
      <c r="AI832" s="260"/>
    </row>
    <row r="833" spans="15:35">
      <c r="O833" s="259"/>
      <c r="P833" s="582"/>
      <c r="Q833" s="582"/>
      <c r="R833" s="582"/>
      <c r="S833" s="582"/>
      <c r="T833" s="582"/>
      <c r="U833" s="582"/>
      <c r="V833" s="582"/>
      <c r="W833" s="582"/>
      <c r="X833" s="582"/>
      <c r="Y833" s="582"/>
      <c r="Z833" s="582"/>
      <c r="AA833" s="582"/>
      <c r="AB833" s="260"/>
      <c r="AC833" s="582"/>
      <c r="AD833" s="582"/>
      <c r="AE833" s="582"/>
      <c r="AI833" s="260"/>
    </row>
    <row r="834" spans="15:35">
      <c r="O834" s="259"/>
      <c r="P834" s="582"/>
      <c r="Q834" s="582"/>
      <c r="R834" s="582"/>
      <c r="S834" s="582"/>
      <c r="T834" s="582"/>
      <c r="U834" s="582"/>
      <c r="V834" s="582"/>
      <c r="W834" s="582"/>
      <c r="X834" s="582"/>
      <c r="Y834" s="582"/>
      <c r="Z834" s="582"/>
      <c r="AA834" s="582"/>
      <c r="AB834" s="260"/>
      <c r="AC834" s="582"/>
      <c r="AD834" s="582"/>
      <c r="AE834" s="582"/>
      <c r="AI834" s="260"/>
    </row>
    <row r="835" spans="15:35">
      <c r="O835" s="259"/>
      <c r="P835" s="582"/>
      <c r="Q835" s="582"/>
      <c r="R835" s="582"/>
      <c r="S835" s="582"/>
      <c r="T835" s="582"/>
      <c r="U835" s="582"/>
      <c r="V835" s="582"/>
      <c r="W835" s="582"/>
      <c r="X835" s="582"/>
      <c r="Y835" s="582"/>
      <c r="Z835" s="582"/>
      <c r="AA835" s="582"/>
      <c r="AB835" s="260"/>
      <c r="AC835" s="582"/>
      <c r="AD835" s="582"/>
      <c r="AE835" s="582"/>
      <c r="AI835" s="260"/>
    </row>
    <row r="836" spans="15:35">
      <c r="O836" s="259"/>
      <c r="P836" s="582"/>
      <c r="Q836" s="582"/>
      <c r="R836" s="582"/>
      <c r="S836" s="582"/>
      <c r="T836" s="582"/>
      <c r="U836" s="582"/>
      <c r="V836" s="582"/>
      <c r="W836" s="582"/>
      <c r="X836" s="582"/>
      <c r="Y836" s="582"/>
      <c r="Z836" s="582"/>
      <c r="AA836" s="582"/>
      <c r="AB836" s="260"/>
      <c r="AC836" s="582"/>
      <c r="AD836" s="582"/>
      <c r="AE836" s="582"/>
      <c r="AI836" s="260"/>
    </row>
    <row r="837" spans="15:35">
      <c r="O837" s="259"/>
      <c r="P837" s="582"/>
      <c r="Q837" s="582"/>
      <c r="R837" s="582"/>
      <c r="S837" s="582"/>
      <c r="T837" s="582"/>
      <c r="U837" s="582"/>
      <c r="V837" s="582"/>
      <c r="W837" s="582"/>
      <c r="X837" s="582"/>
      <c r="Y837" s="582"/>
      <c r="Z837" s="582"/>
      <c r="AA837" s="582"/>
      <c r="AB837" s="260"/>
      <c r="AC837" s="582"/>
      <c r="AD837" s="582"/>
      <c r="AE837" s="582"/>
      <c r="AI837" s="260"/>
    </row>
    <row r="838" spans="15:35">
      <c r="O838" s="259"/>
      <c r="P838" s="582"/>
      <c r="Q838" s="582"/>
      <c r="R838" s="582"/>
      <c r="S838" s="582"/>
      <c r="T838" s="582"/>
      <c r="U838" s="582"/>
      <c r="V838" s="582"/>
      <c r="W838" s="582"/>
      <c r="X838" s="582"/>
      <c r="Y838" s="582"/>
      <c r="Z838" s="582"/>
      <c r="AA838" s="582"/>
      <c r="AB838" s="260"/>
      <c r="AC838" s="582"/>
      <c r="AD838" s="582"/>
      <c r="AE838" s="582"/>
      <c r="AI838" s="260"/>
    </row>
    <row r="839" spans="15:35">
      <c r="O839" s="259"/>
      <c r="P839" s="582"/>
      <c r="Q839" s="582"/>
      <c r="R839" s="582"/>
      <c r="S839" s="582"/>
      <c r="T839" s="582"/>
      <c r="U839" s="582"/>
      <c r="V839" s="582"/>
      <c r="W839" s="582"/>
      <c r="X839" s="582"/>
      <c r="Y839" s="582"/>
      <c r="Z839" s="582"/>
      <c r="AA839" s="582"/>
      <c r="AB839" s="260"/>
      <c r="AC839" s="582"/>
      <c r="AD839" s="582"/>
      <c r="AE839" s="582"/>
      <c r="AI839" s="260"/>
    </row>
    <row r="840" spans="15:35">
      <c r="O840" s="259"/>
      <c r="P840" s="582"/>
      <c r="Q840" s="582"/>
      <c r="R840" s="582"/>
      <c r="S840" s="582"/>
      <c r="T840" s="582"/>
      <c r="U840" s="582"/>
      <c r="V840" s="582"/>
      <c r="W840" s="582"/>
      <c r="X840" s="582"/>
      <c r="Y840" s="582"/>
      <c r="Z840" s="582"/>
      <c r="AA840" s="582"/>
      <c r="AB840" s="260"/>
      <c r="AC840" s="582"/>
      <c r="AD840" s="582"/>
      <c r="AE840" s="582"/>
      <c r="AI840" s="260"/>
    </row>
    <row r="841" spans="15:35">
      <c r="O841" s="259"/>
      <c r="P841" s="582"/>
      <c r="Q841" s="582"/>
      <c r="R841" s="582"/>
      <c r="S841" s="582"/>
      <c r="T841" s="582"/>
      <c r="U841" s="582"/>
      <c r="V841" s="582"/>
      <c r="W841" s="582"/>
      <c r="X841" s="582"/>
      <c r="Y841" s="582"/>
      <c r="Z841" s="582"/>
      <c r="AA841" s="582"/>
      <c r="AB841" s="260"/>
      <c r="AC841" s="582"/>
      <c r="AD841" s="582"/>
      <c r="AE841" s="582"/>
      <c r="AI841" s="260"/>
    </row>
    <row r="842" spans="15:35">
      <c r="O842" s="259"/>
      <c r="P842" s="582"/>
      <c r="Q842" s="582"/>
      <c r="R842" s="582"/>
      <c r="S842" s="582"/>
      <c r="T842" s="582"/>
      <c r="U842" s="582"/>
      <c r="V842" s="582"/>
      <c r="W842" s="582"/>
      <c r="X842" s="582"/>
      <c r="Y842" s="582"/>
      <c r="Z842" s="582"/>
      <c r="AA842" s="582"/>
      <c r="AB842" s="260"/>
      <c r="AC842" s="582"/>
      <c r="AD842" s="582"/>
      <c r="AE842" s="582"/>
      <c r="AI842" s="260"/>
    </row>
    <row r="843" spans="15:35">
      <c r="O843" s="259"/>
      <c r="P843" s="582"/>
      <c r="Q843" s="582"/>
      <c r="R843" s="582"/>
      <c r="S843" s="582"/>
      <c r="T843" s="582"/>
      <c r="U843" s="582"/>
      <c r="V843" s="582"/>
      <c r="W843" s="582"/>
      <c r="X843" s="582"/>
      <c r="Y843" s="582"/>
      <c r="Z843" s="582"/>
      <c r="AA843" s="582"/>
      <c r="AB843" s="260"/>
      <c r="AC843" s="582"/>
      <c r="AD843" s="582"/>
      <c r="AE843" s="582"/>
      <c r="AI843" s="260"/>
    </row>
    <row r="844" spans="15:35">
      <c r="O844" s="259"/>
      <c r="P844" s="582"/>
      <c r="Q844" s="582"/>
      <c r="R844" s="582"/>
      <c r="S844" s="582"/>
      <c r="T844" s="582"/>
      <c r="U844" s="582"/>
      <c r="V844" s="582"/>
      <c r="W844" s="582"/>
      <c r="X844" s="582"/>
      <c r="Y844" s="582"/>
      <c r="Z844" s="582"/>
      <c r="AA844" s="582"/>
      <c r="AB844" s="260"/>
      <c r="AC844" s="582"/>
      <c r="AD844" s="582"/>
      <c r="AE844" s="582"/>
      <c r="AI844" s="260"/>
    </row>
    <row r="845" spans="15:35">
      <c r="O845" s="259"/>
      <c r="P845" s="582"/>
      <c r="Q845" s="582"/>
      <c r="R845" s="582"/>
      <c r="S845" s="582"/>
      <c r="T845" s="582"/>
      <c r="U845" s="582"/>
      <c r="V845" s="582"/>
      <c r="W845" s="582"/>
      <c r="X845" s="582"/>
      <c r="Y845" s="582"/>
      <c r="Z845" s="582"/>
      <c r="AA845" s="582"/>
      <c r="AB845" s="260"/>
      <c r="AC845" s="582"/>
      <c r="AD845" s="582"/>
      <c r="AE845" s="582"/>
      <c r="AI845" s="260"/>
    </row>
    <row r="846" spans="15:35">
      <c r="O846" s="259"/>
      <c r="P846" s="582"/>
      <c r="Q846" s="582"/>
      <c r="R846" s="582"/>
      <c r="S846" s="582"/>
      <c r="T846" s="582"/>
      <c r="U846" s="582"/>
      <c r="V846" s="582"/>
      <c r="W846" s="582"/>
      <c r="X846" s="582"/>
      <c r="Y846" s="582"/>
      <c r="Z846" s="582"/>
      <c r="AA846" s="582"/>
      <c r="AB846" s="260"/>
      <c r="AC846" s="582"/>
      <c r="AD846" s="582"/>
      <c r="AE846" s="582"/>
      <c r="AI846" s="260"/>
    </row>
    <row r="847" spans="15:35">
      <c r="O847" s="259"/>
      <c r="P847" s="582"/>
      <c r="Q847" s="582"/>
      <c r="R847" s="582"/>
      <c r="S847" s="582"/>
      <c r="T847" s="582"/>
      <c r="U847" s="582"/>
      <c r="V847" s="582"/>
      <c r="W847" s="582"/>
      <c r="X847" s="582"/>
      <c r="Y847" s="582"/>
      <c r="Z847" s="582"/>
      <c r="AA847" s="582"/>
      <c r="AB847" s="260"/>
      <c r="AC847" s="582"/>
      <c r="AD847" s="582"/>
      <c r="AE847" s="582"/>
      <c r="AI847" s="260"/>
    </row>
    <row r="848" spans="15:35">
      <c r="O848" s="259"/>
      <c r="P848" s="582"/>
      <c r="Q848" s="582"/>
      <c r="R848" s="582"/>
      <c r="S848" s="582"/>
      <c r="T848" s="582"/>
      <c r="U848" s="582"/>
      <c r="V848" s="582"/>
      <c r="W848" s="582"/>
      <c r="X848" s="582"/>
      <c r="Y848" s="582"/>
      <c r="Z848" s="582"/>
      <c r="AA848" s="582"/>
      <c r="AB848" s="260"/>
      <c r="AC848" s="582"/>
      <c r="AD848" s="582"/>
      <c r="AE848" s="582"/>
      <c r="AI848" s="260"/>
    </row>
    <row r="849" spans="15:35">
      <c r="O849" s="259"/>
      <c r="P849" s="582"/>
      <c r="Q849" s="582"/>
      <c r="R849" s="582"/>
      <c r="S849" s="582"/>
      <c r="T849" s="582"/>
      <c r="U849" s="582"/>
      <c r="V849" s="582"/>
      <c r="W849" s="582"/>
      <c r="X849" s="582"/>
      <c r="Y849" s="582"/>
      <c r="Z849" s="582"/>
      <c r="AA849" s="582"/>
      <c r="AB849" s="260"/>
      <c r="AC849" s="582"/>
      <c r="AD849" s="582"/>
      <c r="AE849" s="582"/>
      <c r="AI849" s="260"/>
    </row>
    <row r="850" spans="15:35">
      <c r="O850" s="259"/>
      <c r="P850" s="582"/>
      <c r="Q850" s="582"/>
      <c r="R850" s="582"/>
      <c r="S850" s="582"/>
      <c r="T850" s="582"/>
      <c r="U850" s="582"/>
      <c r="V850" s="582"/>
      <c r="W850" s="582"/>
      <c r="X850" s="582"/>
      <c r="Y850" s="582"/>
      <c r="Z850" s="582"/>
      <c r="AA850" s="582"/>
      <c r="AB850" s="260"/>
      <c r="AC850" s="582"/>
      <c r="AD850" s="582"/>
      <c r="AE850" s="582"/>
      <c r="AI850" s="260"/>
    </row>
    <row r="851" spans="15:35">
      <c r="O851" s="259"/>
      <c r="P851" s="582"/>
      <c r="Q851" s="582"/>
      <c r="R851" s="582"/>
      <c r="S851" s="582"/>
      <c r="T851" s="582"/>
      <c r="U851" s="582"/>
      <c r="V851" s="582"/>
      <c r="W851" s="582"/>
      <c r="X851" s="582"/>
      <c r="Y851" s="582"/>
      <c r="Z851" s="582"/>
      <c r="AA851" s="582"/>
      <c r="AB851" s="260"/>
      <c r="AC851" s="582"/>
      <c r="AD851" s="582"/>
      <c r="AE851" s="582"/>
      <c r="AI851" s="260"/>
    </row>
    <row r="852" spans="15:35">
      <c r="O852" s="259"/>
      <c r="P852" s="582"/>
      <c r="Q852" s="582"/>
      <c r="R852" s="582"/>
      <c r="S852" s="582"/>
      <c r="T852" s="582"/>
      <c r="U852" s="582"/>
      <c r="V852" s="582"/>
      <c r="W852" s="582"/>
      <c r="X852" s="582"/>
      <c r="Y852" s="582"/>
      <c r="Z852" s="582"/>
      <c r="AA852" s="582"/>
      <c r="AB852" s="260"/>
      <c r="AC852" s="582"/>
      <c r="AD852" s="582"/>
      <c r="AE852" s="582"/>
      <c r="AI852" s="260"/>
    </row>
    <row r="853" spans="15:35">
      <c r="O853" s="259"/>
      <c r="P853" s="582"/>
      <c r="Q853" s="582"/>
      <c r="R853" s="582"/>
      <c r="S853" s="582"/>
      <c r="T853" s="582"/>
      <c r="U853" s="582"/>
      <c r="V853" s="582"/>
      <c r="W853" s="582"/>
      <c r="X853" s="582"/>
      <c r="Y853" s="582"/>
      <c r="Z853" s="582"/>
      <c r="AA853" s="582"/>
      <c r="AB853" s="260"/>
      <c r="AC853" s="582"/>
      <c r="AD853" s="582"/>
      <c r="AE853" s="582"/>
      <c r="AI853" s="260"/>
    </row>
    <row r="854" spans="15:35">
      <c r="O854" s="259"/>
      <c r="P854" s="582"/>
      <c r="Q854" s="582"/>
      <c r="R854" s="582"/>
      <c r="S854" s="582"/>
      <c r="T854" s="582"/>
      <c r="U854" s="582"/>
      <c r="V854" s="582"/>
      <c r="W854" s="582"/>
      <c r="X854" s="582"/>
      <c r="Y854" s="582"/>
      <c r="Z854" s="582"/>
      <c r="AA854" s="582"/>
      <c r="AB854" s="260"/>
      <c r="AC854" s="582"/>
      <c r="AD854" s="582"/>
      <c r="AE854" s="582"/>
      <c r="AI854" s="260"/>
    </row>
    <row r="855" spans="15:35">
      <c r="O855" s="259"/>
      <c r="P855" s="582"/>
      <c r="Q855" s="582"/>
      <c r="R855" s="582"/>
      <c r="S855" s="582"/>
      <c r="T855" s="582"/>
      <c r="U855" s="582"/>
      <c r="V855" s="582"/>
      <c r="W855" s="582"/>
      <c r="X855" s="582"/>
      <c r="Y855" s="582"/>
      <c r="Z855" s="582"/>
      <c r="AA855" s="582"/>
      <c r="AB855" s="260"/>
      <c r="AC855" s="582"/>
      <c r="AD855" s="582"/>
      <c r="AE855" s="582"/>
      <c r="AI855" s="260"/>
    </row>
    <row r="856" spans="15:35">
      <c r="O856" s="259"/>
      <c r="P856" s="582"/>
      <c r="Q856" s="582"/>
      <c r="R856" s="582"/>
      <c r="S856" s="582"/>
      <c r="T856" s="582"/>
      <c r="U856" s="582"/>
      <c r="V856" s="582"/>
      <c r="W856" s="582"/>
      <c r="X856" s="582"/>
      <c r="Y856" s="582"/>
      <c r="Z856" s="582"/>
      <c r="AA856" s="582"/>
      <c r="AB856" s="260"/>
      <c r="AC856" s="582"/>
      <c r="AD856" s="582"/>
      <c r="AE856" s="582"/>
      <c r="AI856" s="260"/>
    </row>
    <row r="857" spans="15:35">
      <c r="O857" s="259"/>
      <c r="P857" s="582"/>
      <c r="Q857" s="582"/>
      <c r="R857" s="582"/>
      <c r="S857" s="582"/>
      <c r="T857" s="582"/>
      <c r="U857" s="582"/>
      <c r="V857" s="582"/>
      <c r="W857" s="582"/>
      <c r="X857" s="582"/>
      <c r="Y857" s="582"/>
      <c r="Z857" s="582"/>
      <c r="AA857" s="582"/>
      <c r="AB857" s="260"/>
      <c r="AC857" s="582"/>
      <c r="AD857" s="582"/>
      <c r="AE857" s="582"/>
      <c r="AI857" s="260"/>
    </row>
    <row r="858" spans="15:35">
      <c r="O858" s="259"/>
      <c r="P858" s="582"/>
      <c r="Q858" s="582"/>
      <c r="R858" s="582"/>
      <c r="S858" s="582"/>
      <c r="T858" s="582"/>
      <c r="U858" s="582"/>
      <c r="V858" s="582"/>
      <c r="W858" s="582"/>
      <c r="X858" s="582"/>
      <c r="Y858" s="582"/>
      <c r="Z858" s="582"/>
      <c r="AA858" s="582"/>
      <c r="AB858" s="260"/>
      <c r="AC858" s="582"/>
      <c r="AD858" s="582"/>
      <c r="AE858" s="582"/>
      <c r="AI858" s="260"/>
    </row>
    <row r="859" spans="15:35">
      <c r="O859" s="259"/>
      <c r="P859" s="582"/>
      <c r="Q859" s="582"/>
      <c r="R859" s="582"/>
      <c r="S859" s="582"/>
      <c r="T859" s="582"/>
      <c r="U859" s="582"/>
      <c r="V859" s="582"/>
      <c r="W859" s="582"/>
      <c r="X859" s="582"/>
      <c r="Y859" s="582"/>
      <c r="Z859" s="582"/>
      <c r="AA859" s="582"/>
      <c r="AB859" s="260"/>
      <c r="AC859" s="582"/>
      <c r="AD859" s="582"/>
      <c r="AE859" s="582"/>
      <c r="AI859" s="260"/>
    </row>
    <row r="860" spans="15:35">
      <c r="O860" s="259"/>
      <c r="P860" s="582"/>
      <c r="Q860" s="582"/>
      <c r="R860" s="582"/>
      <c r="S860" s="582"/>
      <c r="T860" s="582"/>
      <c r="U860" s="582"/>
      <c r="V860" s="582"/>
      <c r="W860" s="582"/>
      <c r="X860" s="582"/>
      <c r="Y860" s="582"/>
      <c r="Z860" s="582"/>
      <c r="AA860" s="582"/>
      <c r="AB860" s="260"/>
      <c r="AC860" s="582"/>
      <c r="AD860" s="582"/>
      <c r="AE860" s="582"/>
      <c r="AI860" s="260"/>
    </row>
    <row r="861" spans="15:35">
      <c r="O861" s="259"/>
      <c r="P861" s="582"/>
      <c r="Q861" s="582"/>
      <c r="R861" s="582"/>
      <c r="S861" s="582"/>
      <c r="T861" s="582"/>
      <c r="U861" s="582"/>
      <c r="V861" s="582"/>
      <c r="W861" s="582"/>
      <c r="X861" s="582"/>
      <c r="Y861" s="582"/>
      <c r="Z861" s="582"/>
      <c r="AA861" s="582"/>
      <c r="AB861" s="260"/>
      <c r="AC861" s="582"/>
      <c r="AD861" s="582"/>
      <c r="AE861" s="582"/>
      <c r="AI861" s="260"/>
    </row>
    <row r="862" spans="15:35">
      <c r="O862" s="259"/>
      <c r="P862" s="582"/>
      <c r="Q862" s="582"/>
      <c r="R862" s="582"/>
      <c r="S862" s="582"/>
      <c r="T862" s="582"/>
      <c r="U862" s="582"/>
      <c r="V862" s="582"/>
      <c r="W862" s="582"/>
      <c r="X862" s="582"/>
      <c r="Y862" s="582"/>
      <c r="Z862" s="582"/>
      <c r="AA862" s="582"/>
      <c r="AB862" s="260"/>
      <c r="AC862" s="582"/>
      <c r="AD862" s="582"/>
      <c r="AE862" s="582"/>
      <c r="AI862" s="260"/>
    </row>
    <row r="863" spans="15:35">
      <c r="O863" s="259"/>
      <c r="P863" s="582"/>
      <c r="Q863" s="582"/>
      <c r="R863" s="582"/>
      <c r="S863" s="582"/>
      <c r="T863" s="582"/>
      <c r="U863" s="582"/>
      <c r="V863" s="582"/>
      <c r="W863" s="582"/>
      <c r="X863" s="582"/>
      <c r="Y863" s="582"/>
      <c r="Z863" s="582"/>
      <c r="AA863" s="582"/>
      <c r="AB863" s="260"/>
      <c r="AC863" s="582"/>
      <c r="AD863" s="582"/>
      <c r="AE863" s="582"/>
      <c r="AI863" s="260"/>
    </row>
    <row r="864" spans="15:35">
      <c r="O864" s="259"/>
      <c r="P864" s="582"/>
      <c r="Q864" s="582"/>
      <c r="R864" s="582"/>
      <c r="S864" s="582"/>
      <c r="T864" s="582"/>
      <c r="U864" s="582"/>
      <c r="V864" s="582"/>
      <c r="W864" s="582"/>
      <c r="X864" s="582"/>
      <c r="Y864" s="582"/>
      <c r="Z864" s="582"/>
      <c r="AA864" s="582"/>
      <c r="AB864" s="260"/>
      <c r="AC864" s="582"/>
      <c r="AD864" s="582"/>
      <c r="AE864" s="582"/>
      <c r="AI864" s="260"/>
    </row>
    <row r="865" spans="15:35">
      <c r="O865" s="259"/>
      <c r="P865" s="582"/>
      <c r="Q865" s="582"/>
      <c r="R865" s="582"/>
      <c r="S865" s="582"/>
      <c r="T865" s="582"/>
      <c r="U865" s="582"/>
      <c r="V865" s="582"/>
      <c r="W865" s="582"/>
      <c r="X865" s="582"/>
      <c r="Y865" s="582"/>
      <c r="Z865" s="582"/>
      <c r="AA865" s="582"/>
      <c r="AB865" s="260"/>
      <c r="AC865" s="582"/>
      <c r="AD865" s="582"/>
      <c r="AE865" s="582"/>
      <c r="AI865" s="260"/>
    </row>
    <row r="866" spans="15:35">
      <c r="O866" s="259"/>
      <c r="P866" s="582"/>
      <c r="Q866" s="582"/>
      <c r="R866" s="582"/>
      <c r="S866" s="582"/>
      <c r="T866" s="582"/>
      <c r="U866" s="582"/>
      <c r="V866" s="582"/>
      <c r="W866" s="582"/>
      <c r="X866" s="582"/>
      <c r="Y866" s="582"/>
      <c r="Z866" s="582"/>
      <c r="AA866" s="582"/>
      <c r="AB866" s="260"/>
      <c r="AC866" s="582"/>
      <c r="AD866" s="582"/>
      <c r="AE866" s="582"/>
      <c r="AI866" s="260"/>
    </row>
    <row r="867" spans="15:35">
      <c r="O867" s="259"/>
      <c r="P867" s="582"/>
      <c r="Q867" s="582"/>
      <c r="R867" s="582"/>
      <c r="S867" s="582"/>
      <c r="T867" s="582"/>
      <c r="U867" s="582"/>
      <c r="V867" s="582"/>
      <c r="W867" s="582"/>
      <c r="X867" s="582"/>
      <c r="Y867" s="582"/>
      <c r="Z867" s="582"/>
      <c r="AA867" s="582"/>
      <c r="AB867" s="260"/>
      <c r="AC867" s="582"/>
      <c r="AD867" s="582"/>
      <c r="AE867" s="582"/>
      <c r="AI867" s="260"/>
    </row>
    <row r="868" spans="15:35">
      <c r="O868" s="259"/>
      <c r="P868" s="582"/>
      <c r="Q868" s="582"/>
      <c r="R868" s="582"/>
      <c r="S868" s="582"/>
      <c r="T868" s="582"/>
      <c r="U868" s="582"/>
      <c r="V868" s="582"/>
      <c r="W868" s="582"/>
      <c r="X868" s="582"/>
      <c r="Y868" s="582"/>
      <c r="Z868" s="582"/>
      <c r="AA868" s="582"/>
      <c r="AB868" s="260"/>
      <c r="AC868" s="582"/>
      <c r="AD868" s="582"/>
      <c r="AE868" s="582"/>
      <c r="AI868" s="260"/>
    </row>
    <row r="869" spans="15:35">
      <c r="O869" s="259"/>
      <c r="P869" s="582"/>
      <c r="Q869" s="582"/>
      <c r="R869" s="582"/>
      <c r="S869" s="582"/>
      <c r="T869" s="582"/>
      <c r="U869" s="582"/>
      <c r="V869" s="582"/>
      <c r="W869" s="582"/>
      <c r="X869" s="582"/>
      <c r="Y869" s="582"/>
      <c r="Z869" s="582"/>
      <c r="AA869" s="582"/>
      <c r="AB869" s="260"/>
      <c r="AC869" s="582"/>
      <c r="AD869" s="582"/>
      <c r="AE869" s="582"/>
      <c r="AI869" s="260"/>
    </row>
    <row r="870" spans="15:35">
      <c r="O870" s="259"/>
      <c r="P870" s="582"/>
      <c r="Q870" s="582"/>
      <c r="R870" s="582"/>
      <c r="S870" s="582"/>
      <c r="T870" s="582"/>
      <c r="U870" s="582"/>
      <c r="V870" s="582"/>
      <c r="W870" s="582"/>
      <c r="X870" s="582"/>
      <c r="Y870" s="582"/>
      <c r="Z870" s="582"/>
      <c r="AA870" s="582"/>
      <c r="AB870" s="260"/>
      <c r="AC870" s="582"/>
      <c r="AD870" s="582"/>
      <c r="AE870" s="582"/>
      <c r="AI870" s="260"/>
    </row>
    <row r="871" spans="15:35">
      <c r="O871" s="259"/>
      <c r="P871" s="582"/>
      <c r="Q871" s="582"/>
      <c r="R871" s="582"/>
      <c r="S871" s="582"/>
      <c r="T871" s="582"/>
      <c r="U871" s="582"/>
      <c r="V871" s="582"/>
      <c r="W871" s="582"/>
      <c r="X871" s="582"/>
      <c r="Y871" s="582"/>
      <c r="Z871" s="582"/>
      <c r="AA871" s="582"/>
      <c r="AB871" s="260"/>
      <c r="AC871" s="582"/>
      <c r="AD871" s="582"/>
      <c r="AE871" s="582"/>
      <c r="AI871" s="260"/>
    </row>
    <row r="872" spans="15:35">
      <c r="O872" s="259"/>
      <c r="P872" s="582"/>
      <c r="Q872" s="582"/>
      <c r="R872" s="582"/>
      <c r="S872" s="582"/>
      <c r="T872" s="582"/>
      <c r="U872" s="582"/>
      <c r="V872" s="582"/>
      <c r="W872" s="582"/>
      <c r="X872" s="582"/>
      <c r="Y872" s="582"/>
      <c r="Z872" s="582"/>
      <c r="AA872" s="582"/>
      <c r="AB872" s="260"/>
      <c r="AC872" s="582"/>
      <c r="AD872" s="582"/>
      <c r="AE872" s="582"/>
      <c r="AI872" s="260"/>
    </row>
    <row r="873" spans="15:35">
      <c r="O873" s="259"/>
      <c r="P873" s="582"/>
      <c r="Q873" s="582"/>
      <c r="R873" s="582"/>
      <c r="S873" s="582"/>
      <c r="T873" s="582"/>
      <c r="U873" s="582"/>
      <c r="V873" s="582"/>
      <c r="W873" s="582"/>
      <c r="X873" s="582"/>
      <c r="Y873" s="582"/>
      <c r="Z873" s="582"/>
      <c r="AA873" s="582"/>
      <c r="AB873" s="260"/>
      <c r="AC873" s="582"/>
      <c r="AD873" s="582"/>
      <c r="AE873" s="582"/>
      <c r="AI873" s="260"/>
    </row>
    <row r="874" spans="15:35">
      <c r="O874" s="259"/>
      <c r="P874" s="582"/>
      <c r="Q874" s="582"/>
      <c r="R874" s="582"/>
      <c r="S874" s="582"/>
      <c r="T874" s="582"/>
      <c r="U874" s="582"/>
      <c r="V874" s="582"/>
      <c r="W874" s="582"/>
      <c r="X874" s="582"/>
      <c r="Y874" s="582"/>
      <c r="Z874" s="582"/>
      <c r="AA874" s="582"/>
      <c r="AB874" s="260"/>
      <c r="AC874" s="582"/>
      <c r="AD874" s="582"/>
      <c r="AE874" s="582"/>
      <c r="AI874" s="260"/>
    </row>
    <row r="875" spans="15:35">
      <c r="O875" s="259"/>
      <c r="P875" s="582"/>
      <c r="Q875" s="582"/>
      <c r="R875" s="582"/>
      <c r="S875" s="582"/>
      <c r="T875" s="582"/>
      <c r="U875" s="582"/>
      <c r="V875" s="582"/>
      <c r="W875" s="582"/>
      <c r="X875" s="582"/>
      <c r="Y875" s="582"/>
      <c r="Z875" s="582"/>
      <c r="AA875" s="582"/>
      <c r="AB875" s="260"/>
      <c r="AC875" s="582"/>
      <c r="AD875" s="582"/>
      <c r="AE875" s="582"/>
      <c r="AI875" s="260"/>
    </row>
    <row r="876" spans="15:35">
      <c r="O876" s="259"/>
      <c r="P876" s="582"/>
      <c r="Q876" s="582"/>
      <c r="R876" s="582"/>
      <c r="S876" s="582"/>
      <c r="T876" s="582"/>
      <c r="U876" s="582"/>
      <c r="V876" s="582"/>
      <c r="W876" s="582"/>
      <c r="X876" s="582"/>
      <c r="Y876" s="582"/>
      <c r="Z876" s="582"/>
      <c r="AA876" s="582"/>
      <c r="AB876" s="260"/>
      <c r="AC876" s="582"/>
      <c r="AD876" s="582"/>
      <c r="AE876" s="582"/>
      <c r="AI876" s="260"/>
    </row>
    <row r="877" spans="15:35">
      <c r="O877" s="259"/>
      <c r="P877" s="582"/>
      <c r="Q877" s="582"/>
      <c r="R877" s="582"/>
      <c r="S877" s="582"/>
      <c r="T877" s="582"/>
      <c r="U877" s="582"/>
      <c r="V877" s="582"/>
      <c r="W877" s="582"/>
      <c r="X877" s="582"/>
      <c r="Y877" s="582"/>
      <c r="Z877" s="582"/>
      <c r="AA877" s="582"/>
      <c r="AB877" s="260"/>
      <c r="AC877" s="582"/>
      <c r="AD877" s="582"/>
      <c r="AE877" s="582"/>
      <c r="AI877" s="260"/>
    </row>
    <row r="878" spans="15:35">
      <c r="O878" s="259"/>
      <c r="P878" s="582"/>
      <c r="Q878" s="582"/>
      <c r="R878" s="582"/>
      <c r="S878" s="582"/>
      <c r="T878" s="582"/>
      <c r="U878" s="582"/>
      <c r="V878" s="582"/>
      <c r="W878" s="582"/>
      <c r="X878" s="582"/>
      <c r="Y878" s="582"/>
      <c r="Z878" s="582"/>
      <c r="AA878" s="582"/>
      <c r="AB878" s="260"/>
      <c r="AC878" s="582"/>
      <c r="AD878" s="582"/>
      <c r="AE878" s="582"/>
      <c r="AI878" s="260"/>
    </row>
    <row r="879" spans="15:35">
      <c r="O879" s="259"/>
      <c r="P879" s="582"/>
      <c r="Q879" s="582"/>
      <c r="R879" s="582"/>
      <c r="S879" s="582"/>
      <c r="T879" s="582"/>
      <c r="U879" s="582"/>
      <c r="V879" s="582"/>
      <c r="W879" s="582"/>
      <c r="X879" s="582"/>
      <c r="Y879" s="582"/>
      <c r="Z879" s="582"/>
      <c r="AA879" s="582"/>
      <c r="AB879" s="260"/>
      <c r="AC879" s="582"/>
      <c r="AD879" s="582"/>
      <c r="AE879" s="582"/>
      <c r="AI879" s="26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1:AE48"/>
  <sheetViews>
    <sheetView zoomScale="40" zoomScaleNormal="40" workbookViewId="0">
      <pane ySplit="7" topLeftCell="A12" activePane="bottomLeft" state="frozen"/>
      <selection activeCell="BA18" sqref="BA18"/>
      <selection pane="bottomLeft" activeCell="K16" sqref="K16"/>
    </sheetView>
  </sheetViews>
  <sheetFormatPr defaultRowHeight="22.5"/>
  <cols>
    <col min="1" max="1" width="4.42578125" customWidth="1"/>
    <col min="2" max="2" width="66.85546875" style="383" customWidth="1"/>
    <col min="3" max="4" width="47.42578125" style="384" customWidth="1"/>
    <col min="5" max="5" width="18.28515625" style="384" customWidth="1"/>
    <col min="6" max="6" width="17.85546875" style="385" customWidth="1"/>
    <col min="7" max="8" width="16.7109375" style="385" customWidth="1"/>
    <col min="9" max="14" width="16.7109375" style="384" customWidth="1"/>
    <col min="15" max="15" width="16.7109375" style="440" customWidth="1"/>
    <col min="16" max="16" width="17.7109375" style="386" customWidth="1"/>
    <col min="17" max="17" width="17.7109375" style="387" customWidth="1"/>
    <col min="18" max="18" width="22" style="383" customWidth="1"/>
    <col min="19" max="19" width="21" style="384" customWidth="1"/>
    <col min="20" max="20" width="24" style="384" customWidth="1"/>
    <col min="21" max="21" width="24.7109375" style="384" customWidth="1"/>
    <col min="22" max="22" width="26.85546875" style="384" customWidth="1"/>
    <col min="23" max="23" width="26" style="384" customWidth="1"/>
    <col min="24" max="24" width="26.28515625" style="384" customWidth="1"/>
    <col min="25" max="29" width="15.7109375" style="384" customWidth="1"/>
    <col min="32" max="32" width="11.140625" customWidth="1"/>
    <col min="33" max="33" width="32.5703125" customWidth="1"/>
  </cols>
  <sheetData>
    <row r="1" spans="2:31" s="412" customFormat="1" ht="28.5" customHeight="1">
      <c r="B1" s="1815" t="s">
        <v>789</v>
      </c>
      <c r="C1" s="1816"/>
      <c r="D1" s="1816"/>
      <c r="E1" s="1817"/>
      <c r="F1" s="1339" t="s">
        <v>1201</v>
      </c>
      <c r="G1" s="1340" t="s">
        <v>1188</v>
      </c>
      <c r="H1" s="1340" t="s">
        <v>1187</v>
      </c>
      <c r="I1" s="1343" t="s">
        <v>1701</v>
      </c>
      <c r="J1" s="1340" t="s">
        <v>790</v>
      </c>
      <c r="K1" s="1340" t="s">
        <v>791</v>
      </c>
      <c r="L1" s="1340" t="s">
        <v>792</v>
      </c>
      <c r="M1" s="1340" t="s">
        <v>793</v>
      </c>
      <c r="N1" s="1340" t="s">
        <v>794</v>
      </c>
      <c r="O1" s="1340" t="s">
        <v>237</v>
      </c>
      <c r="P1" s="585" t="s">
        <v>209</v>
      </c>
      <c r="Q1" s="1341" t="s">
        <v>795</v>
      </c>
      <c r="R1" s="1341" t="s">
        <v>796</v>
      </c>
      <c r="S1" s="1342" t="s">
        <v>797</v>
      </c>
      <c r="T1" s="1342" t="s">
        <v>798</v>
      </c>
      <c r="U1" s="1342" t="s">
        <v>799</v>
      </c>
      <c r="V1" s="1342" t="s">
        <v>800</v>
      </c>
      <c r="W1" s="1342" t="s">
        <v>801</v>
      </c>
      <c r="X1" s="1342" t="s">
        <v>802</v>
      </c>
    </row>
    <row r="2" spans="2:31" s="412" customFormat="1" ht="40.5" customHeight="1">
      <c r="B2" s="1343" t="s">
        <v>142</v>
      </c>
      <c r="C2" s="1818" t="str">
        <f ca="1">+렌터카견적내기!AW4</f>
        <v xml:space="preserve">아반떼 가솔린 1.6 </v>
      </c>
      <c r="D2" s="1819"/>
      <c r="E2" s="1820"/>
      <c r="F2" s="1344">
        <f ca="1">VLOOKUP(C2,렌터카모델!$D:$AC,26,FALSE)</f>
        <v>0</v>
      </c>
      <c r="G2" s="1345" t="str">
        <f ca="1">VLOOKUP(C2,렌터카모델!$D:$U,18,FALSE)</f>
        <v>A7</v>
      </c>
      <c r="H2" s="1343" t="str">
        <f ca="1">VLOOKUP(C2,렌터카모델!$D:$U,17,FALSE)</f>
        <v>A8</v>
      </c>
      <c r="I2" s="1343">
        <f ca="1">VLOOKUP(H2,$E$7:$F$44,2,FALSE)</f>
        <v>4</v>
      </c>
      <c r="J2" s="1343">
        <f>+렌터카견적내기!BA4</f>
        <v>3</v>
      </c>
      <c r="K2" s="1348">
        <f ca="1">+M2+4%</f>
        <v>0.68</v>
      </c>
      <c r="L2" s="1348">
        <f ca="1">M2+2%</f>
        <v>0.66</v>
      </c>
      <c r="M2" s="1348">
        <f ca="1">INDEX($G$7:$M$44,I2,J2)</f>
        <v>0.64</v>
      </c>
      <c r="N2" s="1348">
        <f ca="1">IF(AND(렌터카견적내기!$AW$16="E",J2=2,M2-3%&lt;40%),40%,IF(AND(렌터카견적내기!$AW$16="E",J2=3,M2-3%&lt;30%),30%,IF(AND(렌터카견적내기!$AW$16="E",J2=5,M2-3%&lt;20%),20%,IF(AND(렌터카견적내기!$AW$16="E",J2=7,M2-3%&lt;16%),16%,IF(AND(J2=2,M2-3%&lt;40%),40%,IF(AND(J2=3,M2-3%&lt;30%),30%,IF(AND(J2=5,M2-3%&lt;20%),20%,IF(AND(J2=7,M2-3%&lt;16%),16%,M2-3%))))))))</f>
        <v>0.61</v>
      </c>
      <c r="O2" s="1351">
        <f ca="1">IF(AND(렌터카견적내기!$AW$16="E",J2=2,M2-20%&lt;40%),40%,IF(AND(렌터카견적내기!$AW$16="E",J2=3,M2-20%&lt;30%),30%,IF(AND(렌터카견적내기!$AW$16="E",J2=5,M2-20%&lt;20%),20%,IF(AND(렌터카견적내기!$AW$16="E",J2=7,M2-20%&lt;16%),16%,IF(AND(J2=2,M2-20%&lt;40%),40%,IF(AND(J2=3,M2-20%&lt;30%),30%,IF(AND(J2=5,M2-20%&lt;20%),20%,IF(AND(J2=7,M2-20%&lt;16%),16%,M2-20%))))))))</f>
        <v>0.44</v>
      </c>
      <c r="P2" s="1343">
        <f>+렌터카견적내기!BB12</f>
        <v>2</v>
      </c>
      <c r="Q2" s="1346">
        <f ca="1">IF(AND(렌터카견적내기!AY6="제네시스",P2=5),"무제한 불가",INDEX(K2:O2,P2)+IF(P2=5,0,F2%))</f>
        <v>0.66</v>
      </c>
      <c r="R2" s="1346">
        <f ca="1">IF(AND(렌터카견적내기!$BI$12=3,렌터카견적내기!$AW$16="M"),"미운영",IF(AND(렌터카견적내기!$BI$12=3,렌터카견적내기!$AW$16="L"),"미운영",IF(AND(렌터카견적내기!$BI$12=3,렌터카견적내기!$AW$16="D"),"미운영",IF(AND(렌터카견적내기!$BI$12=3,렌터카견적내기!$AW$16="N"),"미운영",IF(AND(렌터카견적내기!$BI$12=3,렌터카견적내기!$AW$16="P"),"미운영",IF(AND(렌터카견적내기!$BI$12=3,렌터카견적내기!$AW$16="H"),"미운영",IF(AND(렌터카견적내기!$BI$12=3,렌터카견적내기!$AW$16="S"),"미운영",IF(AND(렌터카견적내기!$BI$12=3,렌터카견적내기!$AW$16="G"),"미운영",IF(AND(렌터카견적내기!$BI$12=3,렌터카견적내기!$AW$16="T"),"미운영",IF(AND(렌터카견적내기!$BI$12=3,렌터카견적내기!$AW$16="R"),"미운영",IF(AND(렌터카견적내기!$AW$16="E",렌터카견적내기!$BI$12=4),"미운영",INDEX(T2:X2,P2))))))))))))</f>
        <v>0.65</v>
      </c>
      <c r="S2" s="1347">
        <f ca="1">VLOOKUP(G2,$S$7:$T$44,2,FALSE)</f>
        <v>5</v>
      </c>
      <c r="T2" s="1348">
        <f ca="1">IF(V2="미운영","미운영",IF(AND(렌터카견적내기!BI12=4,P2=1,LEFT(C2,8)="K8 (선구매)"),V2+5%,V2+4%))</f>
        <v>0.67</v>
      </c>
      <c r="U2" s="1348">
        <f ca="1">IF(V2="미운영","미운영",IF(AND(렌터카견적내기!BI12=4,P2=2,LEFT(C2,8)="K8 (선구매)"),V2+3%,V2+2%))</f>
        <v>0.65</v>
      </c>
      <c r="V2" s="1348">
        <f ca="1">IFERROR(INDEX($U$7:$AA$44,S2,J2),"미운영")</f>
        <v>0.63</v>
      </c>
      <c r="W2" s="1349" t="s">
        <v>803</v>
      </c>
      <c r="X2" s="1349" t="s">
        <v>803</v>
      </c>
    </row>
    <row r="3" spans="2:31" s="412" customFormat="1" ht="40.5" customHeight="1">
      <c r="B3" s="1343" t="s">
        <v>200</v>
      </c>
      <c r="C3" s="1818" t="str">
        <f ca="1">+렌터카견적내기!AW4</f>
        <v xml:space="preserve">아반떼 가솔린 1.6 </v>
      </c>
      <c r="D3" s="1819"/>
      <c r="E3" s="1820"/>
      <c r="F3" s="1344">
        <f ca="1">VLOOKUP(C3,렌터카모델!$D:$AC,26,FALSE)</f>
        <v>0</v>
      </c>
      <c r="G3" s="1345" t="str">
        <f ca="1">VLOOKUP(C3,렌터카모델!$D:$U,18,FALSE)</f>
        <v>A7</v>
      </c>
      <c r="H3" s="1343" t="str">
        <f ca="1">VLOOKUP(C3,렌터카모델!$D:$U,17,FALSE)</f>
        <v>A8</v>
      </c>
      <c r="I3" s="1343">
        <f t="shared" ref="I3:I4" ca="1" si="0">VLOOKUP(H3,$E$7:$F$44,2,FALSE)</f>
        <v>4</v>
      </c>
      <c r="J3" s="1343">
        <f>+렌터카견적내기!BA29</f>
        <v>5</v>
      </c>
      <c r="K3" s="1348">
        <f ca="1">+M3+4%</f>
        <v>0.61</v>
      </c>
      <c r="L3" s="1348">
        <f ca="1">M3+2%</f>
        <v>0.59</v>
      </c>
      <c r="M3" s="1348">
        <f t="shared" ref="M3:M4" ca="1" si="1">INDEX($G$7:$M$44,I3,J3)</f>
        <v>0.56999999999999995</v>
      </c>
      <c r="N3" s="1348">
        <f ca="1">IF(AND(렌터카견적내기!$AW$16="E",J3=2,M3-3%&lt;40%),40%,IF(AND(렌터카견적내기!$AW$16="E",J3=3,M3-3%&lt;30%),30%,IF(AND(렌터카견적내기!$AW$16="E",J3=5,M3-3%&lt;20%),20%,IF(AND(렌터카견적내기!$AW$16="E",J3=7,M3-3%&lt;16%),16%,IF(AND(J3=2,M3-3%&lt;40%),40%,IF(AND(J3=3,M3-3%&lt;30%),30%,IF(AND(J3=5,M3-3%&lt;20%),20%,IF(AND(J3=7,M3-3%&lt;16%),16%,M3-3%))))))))</f>
        <v>0.53999999999999992</v>
      </c>
      <c r="O3" s="1351">
        <f ca="1">IF(AND(렌터카견적내기!$AW$16="E",J3=2,M3-20%&lt;40%),40%,IF(AND(렌터카견적내기!$AW$16="E",J3=3,M3-20%&lt;30%),30%,IF(AND(렌터카견적내기!$AW$16="E",J3=5,M3-20%&lt;20%),20%,IF(AND(렌터카견적내기!$AW$16="E",J3=7,M3-20%&lt;16%),16%,IF(AND(J3=2,M3-20%&lt;40%),40%,IF(AND(J3=3,M3-20%&lt;30%),30%,IF(AND(J3=5,M3-20%&lt;20%),20%,IF(AND(J3=7,M3-20%&lt;16%),16%,M3-20%))))))))</f>
        <v>0.36999999999999994</v>
      </c>
      <c r="P3" s="1343">
        <f>+렌터카견적내기!BB37</f>
        <v>2</v>
      </c>
      <c r="Q3" s="1346">
        <f ca="1">IF(AND(렌터카견적내기!AY6="제네시스",P3=5),"무제한 불가",INDEX(K3:O3,P3)+IF(P3=5,0,F3%))</f>
        <v>0.59</v>
      </c>
      <c r="R3" s="1346">
        <f ca="1">IF(AND(렌터카견적내기!$BI$12=3,렌터카견적내기!$AW$16="M"),"미운영",IF(AND(렌터카견적내기!$BI$12=3,렌터카견적내기!$AW$16="L"),"미운영",IF(AND(렌터카견적내기!$BI$12=3,렌터카견적내기!$AW$16="D"),"미운영",IF(AND(렌터카견적내기!$BI$12=3,렌터카견적내기!$AW$16="N"),"미운영",IF(AND(렌터카견적내기!$BI$12=3,렌터카견적내기!$AW$16="P"),"미운영",IF(AND(렌터카견적내기!$BI$12=3,렌터카견적내기!$AW$16="H"),"미운영",IF(AND(렌터카견적내기!$BI$12=3,렌터카견적내기!$AW$16="S"),"미운영",IF(AND(렌터카견적내기!$BI$12=3,렌터카견적내기!$AW$16="G"),"미운영",IF(AND(렌터카견적내기!$BI$12=3,렌터카견적내기!$AW$16="T"),"미운영",IF(AND(렌터카견적내기!$BI$12=3,렌터카견적내기!$AW$16="R"),"미운영",IF(AND(렌터카견적내기!$AW$16="E",렌터카견적내기!$BI$12=4),"미운영",INDEX(T3:X3,P3))))))))))))</f>
        <v>0.58000000000000007</v>
      </c>
      <c r="S3" s="1347">
        <f ca="1">VLOOKUP(G3,$S$7:$T$44,2,FALSE)</f>
        <v>5</v>
      </c>
      <c r="T3" s="1348">
        <f ca="1">IF(V3="미운영","미운영",IF(AND(렌터카견적내기!BI12=4,P3=1,LEFT(C3,8)="K8 (선구매)"),V3+5%,V3+4%))</f>
        <v>0.60000000000000009</v>
      </c>
      <c r="U3" s="1348">
        <f ca="1">IF(V3="미운영","미운영",IF(AND(렌터카견적내기!BI12=4,P3=2,LEFT(C3,8)="K8 (선구매)"),V3+3%,V3+2%))</f>
        <v>0.58000000000000007</v>
      </c>
      <c r="V3" s="1348">
        <f ca="1">IFERROR(INDEX($U$7:$AA$44,S3,J3),"미운영")</f>
        <v>0.56000000000000005</v>
      </c>
      <c r="W3" s="1349" t="s">
        <v>803</v>
      </c>
      <c r="X3" s="1349" t="s">
        <v>803</v>
      </c>
    </row>
    <row r="4" spans="2:31" s="412" customFormat="1" ht="43.5" customHeight="1">
      <c r="B4" s="1350" t="s">
        <v>368</v>
      </c>
      <c r="C4" s="1818" t="str">
        <f ca="1">+렌터카견적내기!AW4</f>
        <v xml:space="preserve">아반떼 가솔린 1.6 </v>
      </c>
      <c r="D4" s="1819"/>
      <c r="E4" s="1820"/>
      <c r="F4" s="1344">
        <f ca="1">VLOOKUP(C4,렌터카모델!$D:$AC,26,FALSE)</f>
        <v>0</v>
      </c>
      <c r="G4" s="1345" t="str">
        <f ca="1">VLOOKUP(C4,렌터카모델!$D:$U,18,FALSE)</f>
        <v>A7</v>
      </c>
      <c r="H4" s="1343" t="str">
        <f ca="1">VLOOKUP(C4,렌터카모델!$D:$U,17,FALSE)</f>
        <v>A8</v>
      </c>
      <c r="I4" s="1343">
        <f t="shared" ca="1" si="0"/>
        <v>4</v>
      </c>
      <c r="J4" s="1343">
        <f>+렌터카견적내기!BA68</f>
        <v>7</v>
      </c>
      <c r="K4" s="1348">
        <f ca="1">+M4+4%</f>
        <v>0.53</v>
      </c>
      <c r="L4" s="1348">
        <f ca="1">M4+2%</f>
        <v>0.51</v>
      </c>
      <c r="M4" s="1348">
        <f t="shared" ca="1" si="1"/>
        <v>0.49</v>
      </c>
      <c r="N4" s="1348">
        <f ca="1">IF(AND(렌터카견적내기!$AW$16="E",J4=2,M4-3%&lt;40%),40%,IF(AND(렌터카견적내기!$AW$16="E",J4=3,M4-3%&lt;30%),30%,IF(AND(렌터카견적내기!$AW$16="E",J4=5,M4-3%&lt;20%),20%,IF(AND(렌터카견적내기!$AW$16="E",J4=7,M4-3%&lt;16%),16%,IF(AND(J4=2,M4-3%&lt;40%),40%,IF(AND(J4=3,M4-3%&lt;30%),30%,IF(AND(J4=5,M4-3%&lt;20%),20%,IF(AND(J4=7,M4-3%&lt;16%),16%,M4-3%))))))))</f>
        <v>0.45999999999999996</v>
      </c>
      <c r="O4" s="1351">
        <f ca="1">IF(AND(렌터카견적내기!$AW$16="E",J4=2,M4-20%&lt;40%),40%,IF(AND(렌터카견적내기!$AW$16="E",J4=3,M4-20%&lt;30%),30%,IF(AND(렌터카견적내기!$AW$16="E",J4=5,M4-20%&lt;20%),20%,IF(AND(렌터카견적내기!$AW$16="E",J4=7,M4-20%&lt;16%),16%,IF(AND(J4=2,M4-20%&lt;40%),40%,IF(AND(J4=3,M4-20%&lt;30%),30%,IF(AND(J4=5,M4-20%&lt;20%),20%,IF(AND(J4=7,M4-20%&lt;16%),16%,M4-20%))))))))</f>
        <v>0.28999999999999998</v>
      </c>
      <c r="P4" s="1343">
        <f>+렌터카견적내기!BB76</f>
        <v>2</v>
      </c>
      <c r="Q4" s="1346">
        <f ca="1">IF(AND(렌터카견적내기!AY6="제네시스",P4=5),"무제한 불가",INDEX(K4:O4,P4)+IF(P4=5,0,F4%))</f>
        <v>0.51</v>
      </c>
      <c r="R4" s="1346">
        <f ca="1">IF(AND(렌터카견적내기!$BI$12=3,렌터카견적내기!$AW$16="M"),"미운영",IF(AND(렌터카견적내기!$BI$12=3,렌터카견적내기!$AW$16="L"),"미운영",IF(AND(렌터카견적내기!$BI$12=3,렌터카견적내기!$AW$16="D"),"미운영",IF(AND(렌터카견적내기!$BI$12=3,렌터카견적내기!$AW$16="N"),"미운영",IF(AND(렌터카견적내기!$BI$12=3,렌터카견적내기!$AW$16="P"),"미운영",IF(AND(렌터카견적내기!$BI$12=3,렌터카견적내기!$AW$16="H"),"미운영",IF(AND(렌터카견적내기!$BI$12=3,렌터카견적내기!$AW$16="S"),"미운영",IF(AND(렌터카견적내기!$BI$12=3,렌터카견적내기!$AW$16="G"),"미운영",IF(AND(렌터카견적내기!$BI$12=3,렌터카견적내기!$AW$16="T"),"미운영",IF(AND(렌터카견적내기!$BI$12=3,렌터카견적내기!$AW$16="R"),"미운영",IF(AND(렌터카견적내기!$AW$16="E",렌터카견적내기!$BI$12=4),"미운영",INDEX(T4:X4,P4))))))))))))</f>
        <v>0.5</v>
      </c>
      <c r="S4" s="1347">
        <f ca="1">VLOOKUP(G4,$S$7:$T$44,2,FALSE)</f>
        <v>5</v>
      </c>
      <c r="T4" s="1348">
        <f ca="1">IF(V4="미운영","미운영",IF(AND(렌터카견적내기!BI12=4,P4=1,LEFT(C4,8)="K8 (선구매)"),V4+5%,V4+4%))</f>
        <v>0.52</v>
      </c>
      <c r="U4" s="1348">
        <f ca="1">IF(V4="미운영","미운영",IF(AND(렌터카견적내기!BI12=4,P4=2,LEFT(C4,8)="K8 (선구매)"),V4+3%,V4+2%))</f>
        <v>0.5</v>
      </c>
      <c r="V4" s="1348">
        <f ca="1">IFERROR(INDEX($U$7:$AA$44,S4,J4),"미운영")</f>
        <v>0.48</v>
      </c>
      <c r="W4" s="1349" t="s">
        <v>803</v>
      </c>
      <c r="X4" s="1349" t="s">
        <v>803</v>
      </c>
    </row>
    <row r="5" spans="2:31" ht="44.25" customHeight="1" thickBot="1">
      <c r="I5" s="1292">
        <v>0.5</v>
      </c>
      <c r="J5" s="1292">
        <v>0.4</v>
      </c>
      <c r="K5" s="1292">
        <v>0.3</v>
      </c>
      <c r="L5" s="1292"/>
      <c r="M5" s="1292">
        <v>0.2</v>
      </c>
      <c r="N5" s="1292"/>
      <c r="O5" s="1293">
        <v>0.16</v>
      </c>
      <c r="R5" s="387"/>
      <c r="S5" s="387"/>
      <c r="T5" s="387"/>
      <c r="U5" s="387"/>
      <c r="V5" s="387"/>
      <c r="W5" s="387"/>
      <c r="X5" s="387"/>
      <c r="Y5"/>
      <c r="Z5"/>
      <c r="AA5"/>
      <c r="AB5"/>
      <c r="AC5"/>
    </row>
    <row r="6" spans="2:31" ht="54" customHeight="1" thickBot="1">
      <c r="B6" s="1336" t="s">
        <v>1130</v>
      </c>
      <c r="C6" s="1337"/>
      <c r="D6" s="1338"/>
      <c r="E6" s="1328" t="s">
        <v>1702</v>
      </c>
      <c r="F6" s="1329" t="s">
        <v>1702</v>
      </c>
      <c r="G6" s="1330">
        <v>12</v>
      </c>
      <c r="H6" s="1330">
        <v>24</v>
      </c>
      <c r="I6" s="1330">
        <v>36</v>
      </c>
      <c r="J6" s="1330">
        <v>42</v>
      </c>
      <c r="K6" s="1330">
        <v>48</v>
      </c>
      <c r="L6" s="1330">
        <v>54</v>
      </c>
      <c r="M6" s="1330">
        <v>60</v>
      </c>
      <c r="N6" s="1331" t="s">
        <v>804</v>
      </c>
      <c r="O6" s="387"/>
      <c r="P6" s="1821" t="s">
        <v>796</v>
      </c>
      <c r="Q6" s="1822"/>
      <c r="R6" s="1823"/>
      <c r="S6" s="1294" t="s">
        <v>946</v>
      </c>
      <c r="T6" s="1295" t="s">
        <v>431</v>
      </c>
      <c r="U6" s="1296">
        <v>12</v>
      </c>
      <c r="V6" s="1297">
        <v>24</v>
      </c>
      <c r="W6" s="1297">
        <v>36</v>
      </c>
      <c r="X6" s="1297">
        <v>42</v>
      </c>
      <c r="Y6" s="1297">
        <v>48</v>
      </c>
      <c r="Z6" s="1298">
        <v>54</v>
      </c>
      <c r="AA6" s="1299">
        <v>60</v>
      </c>
      <c r="AB6"/>
      <c r="AC6">
        <v>1</v>
      </c>
      <c r="AD6" s="587">
        <v>12</v>
      </c>
      <c r="AE6" s="588">
        <v>0.5</v>
      </c>
    </row>
    <row r="7" spans="2:31" s="254" customFormat="1" ht="42.75" customHeight="1">
      <c r="B7" s="1359" t="s">
        <v>1943</v>
      </c>
      <c r="C7" s="1363" t="s">
        <v>1760</v>
      </c>
      <c r="D7" s="1335"/>
      <c r="E7" s="1327" t="s">
        <v>1560</v>
      </c>
      <c r="F7" s="981">
        <v>1</v>
      </c>
      <c r="G7" s="982">
        <v>0.82000000000000006</v>
      </c>
      <c r="H7" s="982">
        <v>0.74</v>
      </c>
      <c r="I7" s="982">
        <v>0.67</v>
      </c>
      <c r="J7" s="982">
        <v>0.64</v>
      </c>
      <c r="K7" s="982">
        <v>0.6</v>
      </c>
      <c r="L7" s="982">
        <v>0.57000000000000006</v>
      </c>
      <c r="M7" s="982">
        <v>0.52</v>
      </c>
      <c r="N7" s="983">
        <v>30000</v>
      </c>
      <c r="O7" s="388"/>
      <c r="P7" s="1317"/>
      <c r="Q7" s="1361" t="s">
        <v>1755</v>
      </c>
      <c r="R7" s="1318"/>
      <c r="S7" s="1300" t="s">
        <v>1560</v>
      </c>
      <c r="T7" s="1300">
        <v>1</v>
      </c>
      <c r="U7" s="1301" t="s">
        <v>1655</v>
      </c>
      <c r="V7" s="1301" t="s">
        <v>1655</v>
      </c>
      <c r="W7" s="1301">
        <v>0.67</v>
      </c>
      <c r="X7" s="1301">
        <v>0.64</v>
      </c>
      <c r="Y7" s="1301">
        <v>0.6</v>
      </c>
      <c r="Z7" s="1301">
        <v>0.57000000000000006</v>
      </c>
      <c r="AA7" s="1302">
        <v>0.52</v>
      </c>
      <c r="AC7" s="254">
        <v>2</v>
      </c>
      <c r="AD7" s="587">
        <v>24</v>
      </c>
      <c r="AE7" s="588">
        <v>0.4</v>
      </c>
    </row>
    <row r="8" spans="2:31" s="254" customFormat="1" ht="37.5">
      <c r="B8" s="1358"/>
      <c r="C8" s="978"/>
      <c r="D8" s="978"/>
      <c r="E8" s="1316" t="s">
        <v>1561</v>
      </c>
      <c r="F8" s="979">
        <v>2</v>
      </c>
      <c r="G8" s="982">
        <v>0.81</v>
      </c>
      <c r="H8" s="982">
        <v>0.73</v>
      </c>
      <c r="I8" s="982">
        <v>0.66</v>
      </c>
      <c r="J8" s="982">
        <v>0.63</v>
      </c>
      <c r="K8" s="982">
        <v>0.59</v>
      </c>
      <c r="L8" s="982">
        <v>0.56000000000000005</v>
      </c>
      <c r="M8" s="982">
        <v>0.51</v>
      </c>
      <c r="N8" s="983">
        <v>30000</v>
      </c>
      <c r="O8" s="388"/>
      <c r="P8" s="1313" t="s">
        <v>1945</v>
      </c>
      <c r="Q8" s="1362" t="s">
        <v>1758</v>
      </c>
      <c r="R8" s="1319"/>
      <c r="S8" s="1300" t="s">
        <v>1561</v>
      </c>
      <c r="T8" s="1300">
        <v>2</v>
      </c>
      <c r="U8" s="1301" t="s">
        <v>1655</v>
      </c>
      <c r="V8" s="1301" t="s">
        <v>1655</v>
      </c>
      <c r="W8" s="1301">
        <v>0.66</v>
      </c>
      <c r="X8" s="1301">
        <v>0.63</v>
      </c>
      <c r="Y8" s="1301">
        <v>0.59</v>
      </c>
      <c r="Z8" s="1301">
        <v>0.56000000000000005</v>
      </c>
      <c r="AA8" s="1302">
        <v>0.51</v>
      </c>
      <c r="AC8">
        <v>3</v>
      </c>
      <c r="AD8" s="587">
        <v>36</v>
      </c>
      <c r="AE8" s="588">
        <v>0.3</v>
      </c>
    </row>
    <row r="9" spans="2:31" s="254" customFormat="1" ht="87.75" customHeight="1">
      <c r="B9" s="1360" t="s">
        <v>1808</v>
      </c>
      <c r="C9" s="1315" t="s">
        <v>1759</v>
      </c>
      <c r="D9" s="980"/>
      <c r="E9" s="1327" t="s">
        <v>1569</v>
      </c>
      <c r="F9" s="981">
        <v>3</v>
      </c>
      <c r="G9" s="982">
        <v>0.8</v>
      </c>
      <c r="H9" s="982">
        <v>0.72</v>
      </c>
      <c r="I9" s="982">
        <v>0.65</v>
      </c>
      <c r="J9" s="982">
        <v>0.62</v>
      </c>
      <c r="K9" s="982">
        <v>0.57999999999999996</v>
      </c>
      <c r="L9" s="982">
        <v>0.55000000000000004</v>
      </c>
      <c r="M9" s="982">
        <v>0.5</v>
      </c>
      <c r="N9" s="983">
        <v>30000</v>
      </c>
      <c r="O9" s="388"/>
      <c r="P9" s="1320"/>
      <c r="Q9" s="1321"/>
      <c r="R9" s="1318"/>
      <c r="S9" s="1300" t="s">
        <v>1569</v>
      </c>
      <c r="T9" s="1300">
        <v>3</v>
      </c>
      <c r="U9" s="1301" t="s">
        <v>1655</v>
      </c>
      <c r="V9" s="1301" t="s">
        <v>1655</v>
      </c>
      <c r="W9" s="1301">
        <v>0.65</v>
      </c>
      <c r="X9" s="1301">
        <v>0.62</v>
      </c>
      <c r="Y9" s="1301">
        <v>0.57999999999999996</v>
      </c>
      <c r="Z9" s="1301">
        <v>0.55000000000000004</v>
      </c>
      <c r="AA9" s="1302">
        <v>0.5</v>
      </c>
      <c r="AC9">
        <v>4</v>
      </c>
      <c r="AD9" s="587">
        <v>42</v>
      </c>
      <c r="AE9" s="588">
        <v>0.25</v>
      </c>
    </row>
    <row r="10" spans="2:31" ht="93.75">
      <c r="B10" s="984" t="s">
        <v>1944</v>
      </c>
      <c r="C10" s="484" t="s">
        <v>1750</v>
      </c>
      <c r="D10" s="978"/>
      <c r="E10" s="1316" t="s">
        <v>1562</v>
      </c>
      <c r="F10" s="979">
        <v>4</v>
      </c>
      <c r="G10" s="441">
        <v>0.79</v>
      </c>
      <c r="H10" s="441">
        <v>0.71</v>
      </c>
      <c r="I10" s="441">
        <v>0.64</v>
      </c>
      <c r="J10" s="441">
        <v>0.61</v>
      </c>
      <c r="K10" s="441">
        <v>0.56999999999999995</v>
      </c>
      <c r="L10" s="441">
        <v>0.54</v>
      </c>
      <c r="M10" s="441">
        <v>0.49</v>
      </c>
      <c r="N10" s="490">
        <v>30000</v>
      </c>
      <c r="O10" s="387"/>
      <c r="P10" s="1322" t="s">
        <v>1597</v>
      </c>
      <c r="Q10" s="1323" t="s">
        <v>1757</v>
      </c>
      <c r="R10" s="1306"/>
      <c r="S10" s="1303" t="s">
        <v>1562</v>
      </c>
      <c r="T10" s="1300">
        <v>4</v>
      </c>
      <c r="U10" s="1301" t="s">
        <v>1655</v>
      </c>
      <c r="V10" s="1301" t="s">
        <v>1655</v>
      </c>
      <c r="W10" s="1304">
        <v>0.64</v>
      </c>
      <c r="X10" s="1304">
        <v>0.61</v>
      </c>
      <c r="Y10" s="1304">
        <v>0.56999999999999995</v>
      </c>
      <c r="Z10" s="1304">
        <v>0.54</v>
      </c>
      <c r="AA10" s="1305">
        <v>0.49</v>
      </c>
      <c r="AB10"/>
      <c r="AC10">
        <v>5</v>
      </c>
      <c r="AD10" s="587">
        <v>48</v>
      </c>
      <c r="AE10" s="588">
        <v>0.2</v>
      </c>
    </row>
    <row r="11" spans="2:31" ht="56.25">
      <c r="B11" s="1358" t="s">
        <v>1746</v>
      </c>
      <c r="C11" s="1102"/>
      <c r="D11" s="978"/>
      <c r="E11" s="1327" t="s">
        <v>1570</v>
      </c>
      <c r="F11" s="979">
        <v>5</v>
      </c>
      <c r="G11" s="441">
        <v>0.78500000000000003</v>
      </c>
      <c r="H11" s="441">
        <v>0.70499999999999996</v>
      </c>
      <c r="I11" s="441">
        <v>0.63</v>
      </c>
      <c r="J11" s="441">
        <v>0.6</v>
      </c>
      <c r="K11" s="441">
        <v>0.56000000000000005</v>
      </c>
      <c r="L11" s="441">
        <v>0.53</v>
      </c>
      <c r="M11" s="441">
        <v>0.48</v>
      </c>
      <c r="N11" s="490">
        <v>30000</v>
      </c>
      <c r="O11" s="387"/>
      <c r="P11" s="1322" t="s">
        <v>1598</v>
      </c>
      <c r="Q11" s="1323" t="s">
        <v>1754</v>
      </c>
      <c r="R11" s="1306"/>
      <c r="S11" s="1303" t="s">
        <v>1570</v>
      </c>
      <c r="T11" s="1300">
        <v>5</v>
      </c>
      <c r="U11" s="1301" t="s">
        <v>1655</v>
      </c>
      <c r="V11" s="1301" t="s">
        <v>1655</v>
      </c>
      <c r="W11" s="1304">
        <v>0.63</v>
      </c>
      <c r="X11" s="1304">
        <v>0.6</v>
      </c>
      <c r="Y11" s="1304">
        <v>0.56000000000000005</v>
      </c>
      <c r="Z11" s="1304">
        <v>0.53</v>
      </c>
      <c r="AA11" s="1305">
        <v>0.48</v>
      </c>
      <c r="AB11"/>
      <c r="AC11">
        <v>6</v>
      </c>
      <c r="AD11" s="587">
        <v>54</v>
      </c>
      <c r="AE11" s="588">
        <v>0.16</v>
      </c>
    </row>
    <row r="12" spans="2:31" ht="112.5">
      <c r="B12" s="976" t="s">
        <v>1810</v>
      </c>
      <c r="C12" s="484" t="s">
        <v>1751</v>
      </c>
      <c r="D12" s="389"/>
      <c r="E12" s="1316" t="s">
        <v>1571</v>
      </c>
      <c r="F12" s="419">
        <v>6</v>
      </c>
      <c r="G12" s="441">
        <v>0.78</v>
      </c>
      <c r="H12" s="441">
        <v>0.7</v>
      </c>
      <c r="I12" s="441">
        <v>0.62</v>
      </c>
      <c r="J12" s="441">
        <v>0.59</v>
      </c>
      <c r="K12" s="441">
        <v>0.55000000000000004</v>
      </c>
      <c r="L12" s="441">
        <v>0.52</v>
      </c>
      <c r="M12" s="441">
        <v>0.47</v>
      </c>
      <c r="N12" s="490">
        <v>30000</v>
      </c>
      <c r="O12" s="387"/>
      <c r="P12" s="1322" t="s">
        <v>1599</v>
      </c>
      <c r="Q12" s="1323" t="s">
        <v>1613</v>
      </c>
      <c r="R12" s="1306"/>
      <c r="S12" s="1303" t="s">
        <v>1571</v>
      </c>
      <c r="T12" s="1300">
        <v>6</v>
      </c>
      <c r="U12" s="1301" t="s">
        <v>1655</v>
      </c>
      <c r="V12" s="1301" t="s">
        <v>1655</v>
      </c>
      <c r="W12" s="1304">
        <v>0.62</v>
      </c>
      <c r="X12" s="1304">
        <v>0.59</v>
      </c>
      <c r="Y12" s="1304">
        <v>0.55000000000000004</v>
      </c>
      <c r="Z12" s="1304">
        <v>0.52</v>
      </c>
      <c r="AA12" s="1305">
        <v>0.47</v>
      </c>
      <c r="AB12"/>
      <c r="AC12">
        <v>7</v>
      </c>
      <c r="AD12" s="587">
        <v>60</v>
      </c>
      <c r="AE12" s="588">
        <v>0.16</v>
      </c>
    </row>
    <row r="13" spans="2:31" ht="75">
      <c r="B13" s="977" t="s">
        <v>1811</v>
      </c>
      <c r="C13" s="389"/>
      <c r="D13" s="389"/>
      <c r="E13" s="1327" t="s">
        <v>1572</v>
      </c>
      <c r="F13" s="419">
        <v>7</v>
      </c>
      <c r="G13" s="441">
        <v>0.77</v>
      </c>
      <c r="H13" s="441">
        <v>0.69</v>
      </c>
      <c r="I13" s="441">
        <v>0.61</v>
      </c>
      <c r="J13" s="441">
        <v>0.57999999999999996</v>
      </c>
      <c r="K13" s="441">
        <v>0.54</v>
      </c>
      <c r="L13" s="441">
        <v>0.51</v>
      </c>
      <c r="M13" s="441">
        <v>0.46</v>
      </c>
      <c r="N13" s="490">
        <v>30000</v>
      </c>
      <c r="O13" s="387"/>
      <c r="P13" s="1322"/>
      <c r="Q13" s="1323" t="s">
        <v>1756</v>
      </c>
      <c r="R13" s="1306"/>
      <c r="S13" s="1303" t="s">
        <v>1572</v>
      </c>
      <c r="T13" s="1300">
        <v>7</v>
      </c>
      <c r="U13" s="1301" t="s">
        <v>1655</v>
      </c>
      <c r="V13" s="1301" t="s">
        <v>1655</v>
      </c>
      <c r="W13" s="1304">
        <v>0.61</v>
      </c>
      <c r="X13" s="1304">
        <v>0.57999999999999996</v>
      </c>
      <c r="Y13" s="1304">
        <v>0.54</v>
      </c>
      <c r="Z13" s="1304">
        <v>0.51</v>
      </c>
      <c r="AA13" s="1305">
        <v>0.46</v>
      </c>
      <c r="AB13"/>
      <c r="AC13"/>
    </row>
    <row r="14" spans="2:31" ht="168.75">
      <c r="B14" s="489" t="s">
        <v>1830</v>
      </c>
      <c r="C14" s="389"/>
      <c r="D14" s="389"/>
      <c r="E14" s="1316" t="s">
        <v>1573</v>
      </c>
      <c r="F14" s="419">
        <v>8</v>
      </c>
      <c r="G14" s="441">
        <v>0.76</v>
      </c>
      <c r="H14" s="441">
        <v>0.68</v>
      </c>
      <c r="I14" s="441">
        <v>0.6</v>
      </c>
      <c r="J14" s="441">
        <v>0.56999999999999995</v>
      </c>
      <c r="K14" s="441">
        <v>0.53</v>
      </c>
      <c r="L14" s="441">
        <v>0.5</v>
      </c>
      <c r="M14" s="441">
        <v>0.45</v>
      </c>
      <c r="N14" s="490">
        <v>30000</v>
      </c>
      <c r="O14" s="387"/>
      <c r="P14" s="1322" t="s">
        <v>2006</v>
      </c>
      <c r="Q14" s="1323" t="s">
        <v>1981</v>
      </c>
      <c r="R14" s="1306"/>
      <c r="S14" s="1303" t="s">
        <v>1573</v>
      </c>
      <c r="T14" s="1300">
        <v>8</v>
      </c>
      <c r="U14" s="1301" t="s">
        <v>1655</v>
      </c>
      <c r="V14" s="1301" t="s">
        <v>1655</v>
      </c>
      <c r="W14" s="1304">
        <v>0.6</v>
      </c>
      <c r="X14" s="1304">
        <v>0.56999999999999995</v>
      </c>
      <c r="Y14" s="1304">
        <v>0.53</v>
      </c>
      <c r="Z14" s="1304">
        <v>0.5</v>
      </c>
      <c r="AA14" s="1305">
        <v>0.45</v>
      </c>
      <c r="AB14"/>
      <c r="AC14"/>
    </row>
    <row r="15" spans="2:31" ht="37.5">
      <c r="B15" s="1236" t="s">
        <v>1809</v>
      </c>
      <c r="C15" s="486" t="s">
        <v>1776</v>
      </c>
      <c r="D15" s="389"/>
      <c r="E15" s="1327" t="s">
        <v>1574</v>
      </c>
      <c r="F15" s="419">
        <v>9</v>
      </c>
      <c r="G15" s="441">
        <v>0.75000000000000011</v>
      </c>
      <c r="H15" s="441">
        <v>0.67</v>
      </c>
      <c r="I15" s="441">
        <v>0.59000000000000008</v>
      </c>
      <c r="J15" s="441">
        <v>0.56000000000000005</v>
      </c>
      <c r="K15" s="441">
        <v>0.52</v>
      </c>
      <c r="L15" s="441">
        <v>0.4900000000000001</v>
      </c>
      <c r="M15" s="441">
        <v>0.45000000000000007</v>
      </c>
      <c r="N15" s="490">
        <v>30000</v>
      </c>
      <c r="O15" s="387"/>
      <c r="P15" s="1322"/>
      <c r="Q15" s="1323" t="s">
        <v>1608</v>
      </c>
      <c r="R15" s="1306"/>
      <c r="S15" s="1303" t="s">
        <v>1574</v>
      </c>
      <c r="T15" s="1300">
        <v>9</v>
      </c>
      <c r="U15" s="1301" t="s">
        <v>1655</v>
      </c>
      <c r="V15" s="1301" t="s">
        <v>1655</v>
      </c>
      <c r="W15" s="1304">
        <v>0.59000000000000008</v>
      </c>
      <c r="X15" s="1304">
        <v>0.56000000000000005</v>
      </c>
      <c r="Y15" s="1304">
        <v>0.52</v>
      </c>
      <c r="Z15" s="1304">
        <v>0.4900000000000001</v>
      </c>
      <c r="AA15" s="1305">
        <v>0.45000000000000007</v>
      </c>
      <c r="AB15"/>
      <c r="AC15">
        <v>1</v>
      </c>
      <c r="AD15" s="587">
        <v>12</v>
      </c>
      <c r="AE15" s="588" t="s">
        <v>120</v>
      </c>
    </row>
    <row r="16" spans="2:31" ht="150">
      <c r="B16" s="976" t="s">
        <v>2007</v>
      </c>
      <c r="C16" s="484" t="s">
        <v>1752</v>
      </c>
      <c r="D16" s="486"/>
      <c r="E16" s="1316" t="s">
        <v>1575</v>
      </c>
      <c r="F16" s="419">
        <v>10</v>
      </c>
      <c r="G16" s="441">
        <v>0.7400000000000001</v>
      </c>
      <c r="H16" s="441">
        <v>0.66</v>
      </c>
      <c r="I16" s="441">
        <v>0.58000000000000007</v>
      </c>
      <c r="J16" s="441">
        <v>0.55000000000000004</v>
      </c>
      <c r="K16" s="441">
        <v>0.51</v>
      </c>
      <c r="L16" s="441">
        <v>0.48000000000000009</v>
      </c>
      <c r="M16" s="441">
        <v>0.44000000000000006</v>
      </c>
      <c r="N16" s="490">
        <v>30000</v>
      </c>
      <c r="O16" s="387"/>
      <c r="P16" s="1322" t="s">
        <v>1601</v>
      </c>
      <c r="Q16" s="1323" t="s">
        <v>1609</v>
      </c>
      <c r="R16" s="1306"/>
      <c r="S16" s="1303" t="s">
        <v>1575</v>
      </c>
      <c r="T16" s="1300">
        <v>10</v>
      </c>
      <c r="U16" s="1301" t="s">
        <v>1655</v>
      </c>
      <c r="V16" s="1301" t="s">
        <v>1655</v>
      </c>
      <c r="W16" s="1304">
        <v>0.58000000000000007</v>
      </c>
      <c r="X16" s="1304">
        <v>0.55000000000000004</v>
      </c>
      <c r="Y16" s="1304">
        <v>0.51</v>
      </c>
      <c r="Z16" s="1304">
        <v>0.48000000000000009</v>
      </c>
      <c r="AA16" s="1305">
        <v>0.44000000000000006</v>
      </c>
      <c r="AB16"/>
      <c r="AC16">
        <v>2</v>
      </c>
      <c r="AD16" s="587">
        <v>24</v>
      </c>
      <c r="AE16" s="588">
        <v>0.3</v>
      </c>
    </row>
    <row r="17" spans="2:31">
      <c r="B17" s="1117" t="s">
        <v>1744</v>
      </c>
      <c r="C17" s="486" t="s">
        <v>1677</v>
      </c>
      <c r="D17" s="389" t="s">
        <v>1781</v>
      </c>
      <c r="E17" s="1327" t="s">
        <v>1576</v>
      </c>
      <c r="F17" s="419">
        <v>11</v>
      </c>
      <c r="G17" s="441">
        <v>0.73000000000000009</v>
      </c>
      <c r="H17" s="441">
        <v>0.65</v>
      </c>
      <c r="I17" s="441">
        <v>0.56999999999999995</v>
      </c>
      <c r="J17" s="441">
        <v>0.54</v>
      </c>
      <c r="K17" s="441">
        <v>0.5</v>
      </c>
      <c r="L17" s="441">
        <v>0.47000000000000008</v>
      </c>
      <c r="M17" s="441">
        <v>0.43000000000000005</v>
      </c>
      <c r="N17" s="490">
        <v>30000</v>
      </c>
      <c r="O17" s="387"/>
      <c r="P17" s="1322" t="s">
        <v>1602</v>
      </c>
      <c r="Q17" s="1323"/>
      <c r="R17" s="1306"/>
      <c r="S17" s="1303" t="s">
        <v>1576</v>
      </c>
      <c r="T17" s="1300">
        <v>11</v>
      </c>
      <c r="U17" s="1301" t="s">
        <v>1655</v>
      </c>
      <c r="V17" s="1301" t="s">
        <v>1655</v>
      </c>
      <c r="W17" s="1304">
        <v>0.56999999999999995</v>
      </c>
      <c r="X17" s="1304">
        <v>0.54</v>
      </c>
      <c r="Y17" s="1304">
        <v>0.5</v>
      </c>
      <c r="Z17" s="1304">
        <v>0.47000000000000008</v>
      </c>
      <c r="AA17" s="1305">
        <v>0.43000000000000005</v>
      </c>
      <c r="AB17"/>
      <c r="AC17">
        <v>3</v>
      </c>
      <c r="AD17" s="587">
        <v>36</v>
      </c>
      <c r="AE17" s="588">
        <v>0.27</v>
      </c>
    </row>
    <row r="18" spans="2:31" ht="93.75">
      <c r="B18" s="1117" t="s">
        <v>1980</v>
      </c>
      <c r="C18" s="486" t="s">
        <v>1667</v>
      </c>
      <c r="D18" s="389" t="s">
        <v>1668</v>
      </c>
      <c r="E18" s="1316" t="s">
        <v>1577</v>
      </c>
      <c r="F18" s="419">
        <v>12</v>
      </c>
      <c r="G18" s="441">
        <v>0.72000000000000008</v>
      </c>
      <c r="H18" s="441">
        <v>0.64</v>
      </c>
      <c r="I18" s="441">
        <v>0.56000000000000005</v>
      </c>
      <c r="J18" s="441">
        <v>0.53</v>
      </c>
      <c r="K18" s="441">
        <v>0.49000000000000005</v>
      </c>
      <c r="L18" s="441">
        <v>0.46000000000000008</v>
      </c>
      <c r="M18" s="441">
        <v>0.42000000000000004</v>
      </c>
      <c r="N18" s="490">
        <v>30000</v>
      </c>
      <c r="O18" s="387"/>
      <c r="P18" s="1322" t="s">
        <v>1605</v>
      </c>
      <c r="Q18" s="1323" t="s">
        <v>1616</v>
      </c>
      <c r="R18" s="1306" t="s">
        <v>1726</v>
      </c>
      <c r="S18" s="1303" t="s">
        <v>1577</v>
      </c>
      <c r="T18" s="1300">
        <v>12</v>
      </c>
      <c r="U18" s="1301" t="s">
        <v>1655</v>
      </c>
      <c r="V18" s="1301" t="s">
        <v>1655</v>
      </c>
      <c r="W18" s="1304">
        <v>0.56000000000000005</v>
      </c>
      <c r="X18" s="1304">
        <v>0.53</v>
      </c>
      <c r="Y18" s="1304">
        <v>0.49000000000000005</v>
      </c>
      <c r="Z18" s="1304">
        <v>0.46000000000000008</v>
      </c>
      <c r="AA18" s="1305">
        <v>0.42000000000000004</v>
      </c>
      <c r="AB18"/>
      <c r="AC18">
        <v>4</v>
      </c>
      <c r="AD18" s="587">
        <v>42</v>
      </c>
      <c r="AE18" s="588">
        <v>0.23</v>
      </c>
    </row>
    <row r="19" spans="2:31">
      <c r="B19" s="489" t="s">
        <v>1745</v>
      </c>
      <c r="C19" s="389" t="s">
        <v>1675</v>
      </c>
      <c r="D19" s="484"/>
      <c r="E19" s="1327" t="s">
        <v>1578</v>
      </c>
      <c r="F19" s="419">
        <v>13</v>
      </c>
      <c r="G19" s="441">
        <v>0.71000000000000008</v>
      </c>
      <c r="H19" s="441">
        <v>0.63</v>
      </c>
      <c r="I19" s="441">
        <v>0.55000000000000004</v>
      </c>
      <c r="J19" s="441">
        <v>0.52</v>
      </c>
      <c r="K19" s="441">
        <v>0.48000000000000004</v>
      </c>
      <c r="L19" s="441">
        <v>0.45000000000000007</v>
      </c>
      <c r="M19" s="441">
        <v>0.41000000000000003</v>
      </c>
      <c r="N19" s="490">
        <v>30000</v>
      </c>
      <c r="O19" s="387"/>
      <c r="P19" s="1307"/>
      <c r="Q19" s="1324"/>
      <c r="R19" s="1306"/>
      <c r="S19" s="1303" t="s">
        <v>1578</v>
      </c>
      <c r="T19" s="1300">
        <v>13</v>
      </c>
      <c r="U19" s="1301" t="s">
        <v>1655</v>
      </c>
      <c r="V19" s="1301" t="s">
        <v>1655</v>
      </c>
      <c r="W19" s="1304">
        <v>0.55000000000000004</v>
      </c>
      <c r="X19" s="1304">
        <v>0.52</v>
      </c>
      <c r="Y19" s="1304">
        <v>0.48000000000000004</v>
      </c>
      <c r="Z19" s="1304">
        <v>0.45000000000000007</v>
      </c>
      <c r="AA19" s="1305">
        <v>0.41000000000000003</v>
      </c>
      <c r="AB19"/>
      <c r="AC19">
        <v>5</v>
      </c>
      <c r="AD19" s="587">
        <v>48</v>
      </c>
      <c r="AE19" s="588">
        <v>0.2</v>
      </c>
    </row>
    <row r="20" spans="2:31" ht="75">
      <c r="B20" s="977" t="s">
        <v>1812</v>
      </c>
      <c r="C20" s="389" t="s">
        <v>1671</v>
      </c>
      <c r="D20" s="389"/>
      <c r="E20" s="1316" t="s">
        <v>1579</v>
      </c>
      <c r="F20" s="419">
        <v>14</v>
      </c>
      <c r="G20" s="441">
        <v>0.70000000000000007</v>
      </c>
      <c r="H20" s="441">
        <v>0.62</v>
      </c>
      <c r="I20" s="441">
        <v>0.54</v>
      </c>
      <c r="J20" s="441">
        <v>0.51</v>
      </c>
      <c r="K20" s="441">
        <v>0.47000000000000003</v>
      </c>
      <c r="L20" s="441">
        <v>0.44000000000000006</v>
      </c>
      <c r="M20" s="441">
        <v>0.4</v>
      </c>
      <c r="N20" s="490">
        <v>30000</v>
      </c>
      <c r="O20" s="387"/>
      <c r="P20" s="1322" t="s">
        <v>1606</v>
      </c>
      <c r="Q20" s="1323"/>
      <c r="R20" s="1306" t="s">
        <v>1624</v>
      </c>
      <c r="S20" s="1303" t="s">
        <v>1579</v>
      </c>
      <c r="T20" s="1300">
        <v>14</v>
      </c>
      <c r="U20" s="1301" t="s">
        <v>1655</v>
      </c>
      <c r="V20" s="1301" t="s">
        <v>1655</v>
      </c>
      <c r="W20" s="1304">
        <v>0.54</v>
      </c>
      <c r="X20" s="1304">
        <v>0.51</v>
      </c>
      <c r="Y20" s="1304">
        <v>0.47000000000000003</v>
      </c>
      <c r="Z20" s="1304">
        <v>0.44000000000000006</v>
      </c>
      <c r="AA20" s="1305">
        <v>0.4</v>
      </c>
      <c r="AB20"/>
      <c r="AC20">
        <v>6</v>
      </c>
      <c r="AD20" s="587">
        <v>54</v>
      </c>
      <c r="AE20" s="588">
        <v>0.16</v>
      </c>
    </row>
    <row r="21" spans="2:31" ht="37.5">
      <c r="B21" s="1117" t="s">
        <v>1813</v>
      </c>
      <c r="C21" s="389"/>
      <c r="D21" s="389" t="s">
        <v>1221</v>
      </c>
      <c r="E21" s="1327" t="s">
        <v>1580</v>
      </c>
      <c r="F21" s="419">
        <v>15</v>
      </c>
      <c r="G21" s="441">
        <v>0.69000000000000006</v>
      </c>
      <c r="H21" s="441">
        <v>0.61</v>
      </c>
      <c r="I21" s="441">
        <v>0.53</v>
      </c>
      <c r="J21" s="441">
        <v>0.5</v>
      </c>
      <c r="K21" s="441">
        <v>0.46</v>
      </c>
      <c r="L21" s="441">
        <v>0.43000000000000005</v>
      </c>
      <c r="M21" s="441">
        <v>0.39</v>
      </c>
      <c r="N21" s="490">
        <v>30000</v>
      </c>
      <c r="O21" s="387"/>
      <c r="P21" s="1322"/>
      <c r="Q21" s="1323" t="s">
        <v>1612</v>
      </c>
      <c r="R21" s="1306" t="s">
        <v>1774</v>
      </c>
      <c r="S21" s="1303" t="s">
        <v>1580</v>
      </c>
      <c r="T21" s="1300">
        <v>15</v>
      </c>
      <c r="U21" s="1301" t="s">
        <v>1655</v>
      </c>
      <c r="V21" s="1301" t="s">
        <v>1655</v>
      </c>
      <c r="W21" s="1304">
        <v>0.53</v>
      </c>
      <c r="X21" s="1304">
        <v>0.5</v>
      </c>
      <c r="Y21" s="1304">
        <v>0.46</v>
      </c>
      <c r="Z21" s="1304">
        <v>0.43000000000000005</v>
      </c>
      <c r="AA21" s="1305">
        <v>0.39</v>
      </c>
      <c r="AB21"/>
      <c r="AC21">
        <v>7</v>
      </c>
      <c r="AD21" s="587">
        <v>60</v>
      </c>
      <c r="AE21" s="588">
        <v>0.12</v>
      </c>
    </row>
    <row r="22" spans="2:31" ht="150">
      <c r="B22" s="491" t="s">
        <v>1743</v>
      </c>
      <c r="C22" s="389" t="s">
        <v>1672</v>
      </c>
      <c r="D22" s="486" t="s">
        <v>1724</v>
      </c>
      <c r="E22" s="1316" t="s">
        <v>1581</v>
      </c>
      <c r="F22" s="419">
        <v>16</v>
      </c>
      <c r="G22" s="441">
        <v>0.68</v>
      </c>
      <c r="H22" s="441">
        <v>0.6</v>
      </c>
      <c r="I22" s="441">
        <v>0.52</v>
      </c>
      <c r="J22" s="441">
        <v>0.49</v>
      </c>
      <c r="K22" s="441">
        <v>0.45</v>
      </c>
      <c r="L22" s="441">
        <v>0.42000000000000004</v>
      </c>
      <c r="M22" s="441">
        <v>0.38</v>
      </c>
      <c r="N22" s="490">
        <v>30000</v>
      </c>
      <c r="O22" s="387"/>
      <c r="P22" s="1322" t="s">
        <v>1607</v>
      </c>
      <c r="Q22" s="1324"/>
      <c r="R22" s="1306" t="s">
        <v>1626</v>
      </c>
      <c r="S22" s="1303" t="s">
        <v>1581</v>
      </c>
      <c r="T22" s="1300">
        <v>16</v>
      </c>
      <c r="U22" s="1301" t="s">
        <v>1655</v>
      </c>
      <c r="V22" s="1301" t="s">
        <v>1655</v>
      </c>
      <c r="W22" s="1304">
        <v>0.52</v>
      </c>
      <c r="X22" s="1304">
        <v>0.49</v>
      </c>
      <c r="Y22" s="1304">
        <v>0.45</v>
      </c>
      <c r="Z22" s="1304">
        <v>0.42000000000000004</v>
      </c>
      <c r="AA22" s="1305">
        <v>0.38</v>
      </c>
      <c r="AB22"/>
      <c r="AC22"/>
    </row>
    <row r="23" spans="2:31">
      <c r="B23" s="491" t="s">
        <v>1831</v>
      </c>
      <c r="C23" s="389" t="s">
        <v>1749</v>
      </c>
      <c r="D23" s="389"/>
      <c r="E23" s="1327" t="s">
        <v>1582</v>
      </c>
      <c r="F23" s="419">
        <v>17</v>
      </c>
      <c r="G23" s="441">
        <v>0.67</v>
      </c>
      <c r="H23" s="441">
        <v>0.59</v>
      </c>
      <c r="I23" s="441">
        <v>0.51</v>
      </c>
      <c r="J23" s="441">
        <v>0.48</v>
      </c>
      <c r="K23" s="441">
        <v>0.44</v>
      </c>
      <c r="L23" s="441">
        <v>0.41000000000000003</v>
      </c>
      <c r="M23" s="441">
        <v>0.37</v>
      </c>
      <c r="N23" s="490">
        <v>30000</v>
      </c>
      <c r="O23" s="387"/>
      <c r="P23" s="1322"/>
      <c r="Q23" s="1323"/>
      <c r="R23" s="1306"/>
      <c r="S23" s="1303" t="s">
        <v>1582</v>
      </c>
      <c r="T23" s="1300">
        <v>17</v>
      </c>
      <c r="U23" s="1301" t="s">
        <v>1655</v>
      </c>
      <c r="V23" s="1301" t="s">
        <v>1655</v>
      </c>
      <c r="W23" s="1304">
        <v>0.51</v>
      </c>
      <c r="X23" s="1304">
        <v>0.48</v>
      </c>
      <c r="Y23" s="1304">
        <v>0.44</v>
      </c>
      <c r="Z23" s="1304">
        <v>0.41000000000000003</v>
      </c>
      <c r="AA23" s="1305">
        <v>0.37</v>
      </c>
      <c r="AB23"/>
      <c r="AC23"/>
    </row>
    <row r="24" spans="2:31" ht="56.25">
      <c r="B24" s="1103" t="s">
        <v>1832</v>
      </c>
      <c r="C24" s="389" t="s">
        <v>1673</v>
      </c>
      <c r="D24" s="389"/>
      <c r="E24" s="1316" t="s">
        <v>1583</v>
      </c>
      <c r="F24" s="419">
        <v>18</v>
      </c>
      <c r="G24" s="441">
        <v>0.66</v>
      </c>
      <c r="H24" s="441">
        <v>0.57999999999999996</v>
      </c>
      <c r="I24" s="441">
        <v>0.5</v>
      </c>
      <c r="J24" s="441">
        <v>0.47</v>
      </c>
      <c r="K24" s="441">
        <v>0.43</v>
      </c>
      <c r="L24" s="441">
        <v>0.4</v>
      </c>
      <c r="M24" s="441">
        <v>0.36</v>
      </c>
      <c r="N24" s="492">
        <v>30000</v>
      </c>
      <c r="O24" s="387"/>
      <c r="P24" s="1322" t="s">
        <v>1600</v>
      </c>
      <c r="Q24" s="1323" t="s">
        <v>1614</v>
      </c>
      <c r="R24" s="1306" t="s">
        <v>1623</v>
      </c>
      <c r="S24" s="1303" t="s">
        <v>1583</v>
      </c>
      <c r="T24" s="1300">
        <v>18</v>
      </c>
      <c r="U24" s="1301" t="s">
        <v>1655</v>
      </c>
      <c r="V24" s="1301" t="s">
        <v>1655</v>
      </c>
      <c r="W24" s="1304">
        <v>0.5</v>
      </c>
      <c r="X24" s="1304">
        <v>0.47</v>
      </c>
      <c r="Y24" s="1304">
        <v>0.43</v>
      </c>
      <c r="Z24" s="1304">
        <v>0.4</v>
      </c>
      <c r="AA24" s="1305">
        <v>0.36</v>
      </c>
      <c r="AB24"/>
      <c r="AC24"/>
    </row>
    <row r="25" spans="2:31">
      <c r="B25" s="491" t="s">
        <v>1670</v>
      </c>
      <c r="C25" s="389"/>
      <c r="D25" s="389"/>
      <c r="E25" s="1327" t="s">
        <v>1584</v>
      </c>
      <c r="F25" s="419">
        <v>19</v>
      </c>
      <c r="G25" s="441">
        <v>0.65</v>
      </c>
      <c r="H25" s="441">
        <v>0.56999999999999995</v>
      </c>
      <c r="I25" s="441">
        <v>0.49</v>
      </c>
      <c r="J25" s="441">
        <v>0.45999999999999996</v>
      </c>
      <c r="K25" s="441">
        <v>0.42</v>
      </c>
      <c r="L25" s="441">
        <v>0.39</v>
      </c>
      <c r="M25" s="441">
        <v>0.35</v>
      </c>
      <c r="N25" s="490">
        <v>30000</v>
      </c>
      <c r="O25" s="387"/>
      <c r="P25" s="1307"/>
      <c r="Q25" s="1324" t="s">
        <v>1610</v>
      </c>
      <c r="R25" s="1306" t="s">
        <v>1625</v>
      </c>
      <c r="S25" s="1303" t="s">
        <v>1584</v>
      </c>
      <c r="T25" s="1300">
        <v>19</v>
      </c>
      <c r="U25" s="1301" t="s">
        <v>1655</v>
      </c>
      <c r="V25" s="1301" t="s">
        <v>1655</v>
      </c>
      <c r="W25" s="1304">
        <v>0.49</v>
      </c>
      <c r="X25" s="1304">
        <v>0.45999999999999996</v>
      </c>
      <c r="Y25" s="1304">
        <v>0.42</v>
      </c>
      <c r="Z25" s="1304">
        <v>0.39</v>
      </c>
      <c r="AA25" s="1305">
        <v>0.35</v>
      </c>
      <c r="AB25"/>
      <c r="AC25"/>
    </row>
    <row r="26" spans="2:31" ht="56.25">
      <c r="B26" s="489" t="s">
        <v>1669</v>
      </c>
      <c r="C26" s="484" t="s">
        <v>1674</v>
      </c>
      <c r="D26" s="389" t="s">
        <v>1665</v>
      </c>
      <c r="E26" s="1316" t="s">
        <v>1585</v>
      </c>
      <c r="F26" s="420">
        <v>20</v>
      </c>
      <c r="G26" s="441">
        <v>0.64</v>
      </c>
      <c r="H26" s="441">
        <v>0.56000000000000005</v>
      </c>
      <c r="I26" s="441">
        <v>0.48</v>
      </c>
      <c r="J26" s="441">
        <v>0.44999999999999996</v>
      </c>
      <c r="K26" s="441">
        <v>0.41</v>
      </c>
      <c r="L26" s="441">
        <v>0.38</v>
      </c>
      <c r="M26" s="441">
        <v>0.33999999999999997</v>
      </c>
      <c r="N26" s="490">
        <v>30000</v>
      </c>
      <c r="O26" s="387"/>
      <c r="P26" s="1322" t="s">
        <v>1604</v>
      </c>
      <c r="Q26" s="1324"/>
      <c r="R26" s="1325"/>
      <c r="S26" s="1303" t="s">
        <v>1585</v>
      </c>
      <c r="T26" s="1300">
        <v>20</v>
      </c>
      <c r="U26" s="1301" t="s">
        <v>1655</v>
      </c>
      <c r="V26" s="1301" t="s">
        <v>1655</v>
      </c>
      <c r="W26" s="1304">
        <v>0.48</v>
      </c>
      <c r="X26" s="1304">
        <v>0.44999999999999996</v>
      </c>
      <c r="Y26" s="1304">
        <v>0.41</v>
      </c>
      <c r="Z26" s="1304">
        <v>0.38</v>
      </c>
      <c r="AA26" s="1305">
        <v>0.33999999999999997</v>
      </c>
      <c r="AB26"/>
      <c r="AC26"/>
    </row>
    <row r="27" spans="2:31">
      <c r="B27" s="1333" t="s">
        <v>1656</v>
      </c>
      <c r="C27" s="389" t="s">
        <v>1676</v>
      </c>
      <c r="D27" s="389" t="s">
        <v>125</v>
      </c>
      <c r="E27" s="1327" t="s">
        <v>1586</v>
      </c>
      <c r="F27" s="420">
        <v>21</v>
      </c>
      <c r="G27" s="441">
        <v>0.63</v>
      </c>
      <c r="H27" s="586">
        <v>0.55000000000000004</v>
      </c>
      <c r="I27" s="586">
        <v>0.47</v>
      </c>
      <c r="J27" s="586">
        <v>0.43999999999999995</v>
      </c>
      <c r="K27" s="586">
        <v>0.39999999999999997</v>
      </c>
      <c r="L27" s="586">
        <v>0.37</v>
      </c>
      <c r="M27" s="586">
        <v>0.32999999999999996</v>
      </c>
      <c r="N27" s="492">
        <v>30000</v>
      </c>
      <c r="O27" s="387"/>
      <c r="P27" s="1307"/>
      <c r="Q27" s="1324"/>
      <c r="R27" s="1306"/>
      <c r="S27" s="1303" t="s">
        <v>1586</v>
      </c>
      <c r="T27" s="1300">
        <v>21</v>
      </c>
      <c r="U27" s="1301" t="s">
        <v>1655</v>
      </c>
      <c r="V27" s="1301" t="s">
        <v>1655</v>
      </c>
      <c r="W27" s="1304">
        <v>0.47</v>
      </c>
      <c r="X27" s="1304">
        <v>0.43999999999999995</v>
      </c>
      <c r="Y27" s="1304">
        <v>0.39999999999999997</v>
      </c>
      <c r="Z27" s="1304">
        <v>0.37</v>
      </c>
      <c r="AA27" s="1305">
        <v>0.32999999999999996</v>
      </c>
      <c r="AB27"/>
      <c r="AC27"/>
    </row>
    <row r="28" spans="2:31" ht="56.25">
      <c r="B28" s="1333" t="s">
        <v>1742</v>
      </c>
      <c r="C28" s="389"/>
      <c r="D28" s="486" t="s">
        <v>1664</v>
      </c>
      <c r="E28" s="1316" t="s">
        <v>1587</v>
      </c>
      <c r="F28" s="419">
        <v>22</v>
      </c>
      <c r="G28" s="441">
        <v>0.625</v>
      </c>
      <c r="H28" s="586">
        <v>0.54500000000000004</v>
      </c>
      <c r="I28" s="586">
        <v>0.46</v>
      </c>
      <c r="J28" s="586">
        <v>0.42999999999999994</v>
      </c>
      <c r="K28" s="586">
        <v>0.39</v>
      </c>
      <c r="L28" s="586">
        <v>0.36</v>
      </c>
      <c r="M28" s="586">
        <v>0.31</v>
      </c>
      <c r="N28" s="492">
        <v>30000</v>
      </c>
      <c r="O28" s="387"/>
      <c r="P28" s="1322"/>
      <c r="Q28" s="1323"/>
      <c r="R28" s="1306"/>
      <c r="S28" s="1303" t="s">
        <v>1587</v>
      </c>
      <c r="T28" s="1300">
        <v>22</v>
      </c>
      <c r="U28" s="1301" t="s">
        <v>1655</v>
      </c>
      <c r="V28" s="1301" t="s">
        <v>1655</v>
      </c>
      <c r="W28" s="1304">
        <v>0.46</v>
      </c>
      <c r="X28" s="1304">
        <v>0.42999999999999994</v>
      </c>
      <c r="Y28" s="1304">
        <v>0.39</v>
      </c>
      <c r="Z28" s="1304">
        <v>0.36</v>
      </c>
      <c r="AA28" s="1305">
        <v>0.31</v>
      </c>
      <c r="AB28"/>
      <c r="AC28"/>
    </row>
    <row r="29" spans="2:31" ht="75">
      <c r="B29" s="489"/>
      <c r="C29" s="484"/>
      <c r="D29" s="389" t="s">
        <v>1682</v>
      </c>
      <c r="E29" s="1327" t="s">
        <v>1588</v>
      </c>
      <c r="F29" s="419">
        <v>23</v>
      </c>
      <c r="G29" s="441">
        <v>0.62</v>
      </c>
      <c r="H29" s="586">
        <v>0.54</v>
      </c>
      <c r="I29" s="586">
        <v>0.45</v>
      </c>
      <c r="J29" s="586">
        <v>0.42000000000000004</v>
      </c>
      <c r="K29" s="586">
        <v>0.38</v>
      </c>
      <c r="L29" s="586">
        <v>0.35</v>
      </c>
      <c r="M29" s="586">
        <v>0.3</v>
      </c>
      <c r="N29" s="492">
        <v>30000</v>
      </c>
      <c r="O29" s="387"/>
      <c r="P29" s="1308"/>
      <c r="Q29" s="1323" t="s">
        <v>1615</v>
      </c>
      <c r="R29" s="1310"/>
      <c r="S29" s="1303" t="s">
        <v>1588</v>
      </c>
      <c r="T29" s="1300">
        <v>23</v>
      </c>
      <c r="U29" s="1301" t="s">
        <v>1655</v>
      </c>
      <c r="V29" s="1301" t="s">
        <v>1655</v>
      </c>
      <c r="W29" s="1311">
        <v>0.45</v>
      </c>
      <c r="X29" s="1304">
        <v>0.42000000000000004</v>
      </c>
      <c r="Y29" s="1311">
        <v>0.38</v>
      </c>
      <c r="Z29" s="1304">
        <v>0.35</v>
      </c>
      <c r="AA29" s="1312">
        <v>0.3</v>
      </c>
      <c r="AB29"/>
      <c r="AC29"/>
    </row>
    <row r="30" spans="2:31">
      <c r="B30" s="491" t="s">
        <v>1661</v>
      </c>
      <c r="C30" s="389" t="s">
        <v>1678</v>
      </c>
      <c r="D30" s="389" t="s">
        <v>1662</v>
      </c>
      <c r="E30" s="1316" t="s">
        <v>1589</v>
      </c>
      <c r="F30" s="419">
        <v>24</v>
      </c>
      <c r="G30" s="441">
        <v>0.61</v>
      </c>
      <c r="H30" s="586">
        <v>0.53</v>
      </c>
      <c r="I30" s="586">
        <v>0.44</v>
      </c>
      <c r="J30" s="586">
        <v>0.41000000000000003</v>
      </c>
      <c r="K30" s="586">
        <v>0.37</v>
      </c>
      <c r="L30" s="586">
        <v>0.33999999999999997</v>
      </c>
      <c r="M30" s="586">
        <v>0.28999999999999998</v>
      </c>
      <c r="N30" s="492">
        <v>30000</v>
      </c>
      <c r="O30" s="387"/>
      <c r="P30" s="1308"/>
      <c r="Q30" s="1309" t="s">
        <v>1617</v>
      </c>
      <c r="R30" s="1310"/>
      <c r="S30" s="1303" t="s">
        <v>1589</v>
      </c>
      <c r="T30" s="1300">
        <v>24</v>
      </c>
      <c r="U30" s="1301" t="s">
        <v>1655</v>
      </c>
      <c r="V30" s="1301" t="s">
        <v>1655</v>
      </c>
      <c r="W30" s="1311">
        <v>0.44</v>
      </c>
      <c r="X30" s="1304">
        <v>0.41000000000000003</v>
      </c>
      <c r="Y30" s="1311">
        <v>0.37</v>
      </c>
      <c r="Z30" s="1304">
        <v>0.33999999999999997</v>
      </c>
      <c r="AA30" s="1312">
        <v>0.28999999999999998</v>
      </c>
      <c r="AB30"/>
      <c r="AC30"/>
    </row>
    <row r="31" spans="2:31" ht="75">
      <c r="B31" s="491"/>
      <c r="C31" s="485" t="s">
        <v>1666</v>
      </c>
      <c r="D31" s="389" t="s">
        <v>1681</v>
      </c>
      <c r="E31" s="1327" t="s">
        <v>491</v>
      </c>
      <c r="F31" s="419">
        <v>25</v>
      </c>
      <c r="G31" s="441">
        <v>0.6</v>
      </c>
      <c r="H31" s="586">
        <v>0.52</v>
      </c>
      <c r="I31" s="586">
        <v>0.43</v>
      </c>
      <c r="J31" s="586">
        <v>0.4</v>
      </c>
      <c r="K31" s="586">
        <v>0.36</v>
      </c>
      <c r="L31" s="586">
        <v>0.32999999999999996</v>
      </c>
      <c r="M31" s="586">
        <v>0.28000000000000003</v>
      </c>
      <c r="N31" s="492">
        <v>30000</v>
      </c>
      <c r="O31" s="387"/>
      <c r="P31" s="1313"/>
      <c r="Q31" s="1323" t="s">
        <v>1611</v>
      </c>
      <c r="R31" s="1310"/>
      <c r="S31" s="1303" t="s">
        <v>491</v>
      </c>
      <c r="T31" s="1300">
        <v>25</v>
      </c>
      <c r="U31" s="1301" t="s">
        <v>1655</v>
      </c>
      <c r="V31" s="1301" t="s">
        <v>1655</v>
      </c>
      <c r="W31" s="1311">
        <v>0.43</v>
      </c>
      <c r="X31" s="1304">
        <v>0.4</v>
      </c>
      <c r="Y31" s="1311">
        <v>0.36</v>
      </c>
      <c r="Z31" s="1304">
        <v>0.32999999999999996</v>
      </c>
      <c r="AA31" s="1312">
        <v>0.28000000000000003</v>
      </c>
      <c r="AB31"/>
      <c r="AC31"/>
    </row>
    <row r="32" spans="2:31" ht="37.5">
      <c r="B32" s="491" t="s">
        <v>1663</v>
      </c>
      <c r="C32" s="485"/>
      <c r="D32" s="486"/>
      <c r="E32" s="1316" t="s">
        <v>1590</v>
      </c>
      <c r="F32" s="419">
        <v>26</v>
      </c>
      <c r="G32" s="441">
        <v>0.59</v>
      </c>
      <c r="H32" s="586">
        <v>0.51</v>
      </c>
      <c r="I32" s="586">
        <v>0.42</v>
      </c>
      <c r="J32" s="586">
        <v>0.39</v>
      </c>
      <c r="K32" s="586">
        <v>0.35</v>
      </c>
      <c r="L32" s="586">
        <v>0.31999999999999995</v>
      </c>
      <c r="M32" s="586">
        <v>0.27</v>
      </c>
      <c r="N32" s="492">
        <v>30000</v>
      </c>
      <c r="O32" s="387"/>
      <c r="P32" s="1313" t="s">
        <v>1727</v>
      </c>
      <c r="Q32" s="1309" t="s">
        <v>1619</v>
      </c>
      <c r="R32" s="1310"/>
      <c r="S32" s="1303" t="s">
        <v>1590</v>
      </c>
      <c r="T32" s="1300">
        <v>26</v>
      </c>
      <c r="U32" s="1301" t="s">
        <v>1655</v>
      </c>
      <c r="V32" s="1301" t="s">
        <v>1655</v>
      </c>
      <c r="W32" s="1311">
        <v>0.42</v>
      </c>
      <c r="X32" s="1304">
        <v>0.39</v>
      </c>
      <c r="Y32" s="1311">
        <v>0.35</v>
      </c>
      <c r="Z32" s="1304">
        <v>0.31999999999999995</v>
      </c>
      <c r="AA32" s="1312">
        <v>0.27</v>
      </c>
      <c r="AB32"/>
      <c r="AC32"/>
    </row>
    <row r="33" spans="2:29">
      <c r="B33" s="1245"/>
      <c r="C33" s="585" t="s">
        <v>114</v>
      </c>
      <c r="D33" s="585"/>
      <c r="E33" s="1327" t="s">
        <v>1591</v>
      </c>
      <c r="F33" s="1289">
        <v>27</v>
      </c>
      <c r="G33" s="586">
        <v>0.58499999999999996</v>
      </c>
      <c r="H33" s="586">
        <v>0.505</v>
      </c>
      <c r="I33" s="586">
        <v>0.41</v>
      </c>
      <c r="J33" s="586">
        <v>0.38</v>
      </c>
      <c r="K33" s="586">
        <v>0.33999999999999997</v>
      </c>
      <c r="L33" s="586">
        <v>0.30999999999999994</v>
      </c>
      <c r="M33" s="586">
        <v>0.26</v>
      </c>
      <c r="N33" s="492">
        <v>30000</v>
      </c>
      <c r="O33" s="387"/>
      <c r="P33" s="1308"/>
      <c r="Q33" s="1309"/>
      <c r="R33" s="1310"/>
      <c r="S33" s="1303" t="s">
        <v>1591</v>
      </c>
      <c r="T33" s="1300">
        <v>27</v>
      </c>
      <c r="U33" s="1301" t="s">
        <v>1655</v>
      </c>
      <c r="V33" s="1301" t="s">
        <v>1655</v>
      </c>
      <c r="W33" s="1311">
        <v>0.41</v>
      </c>
      <c r="X33" s="1304">
        <v>0.38</v>
      </c>
      <c r="Y33" s="1311">
        <v>0.33999999999999997</v>
      </c>
      <c r="Z33" s="1304">
        <v>0.30999999999999994</v>
      </c>
      <c r="AA33" s="1312">
        <v>0.26</v>
      </c>
      <c r="AB33"/>
      <c r="AC33"/>
    </row>
    <row r="34" spans="2:29">
      <c r="B34" s="584"/>
      <c r="C34" s="585"/>
      <c r="D34" s="585"/>
      <c r="E34" s="1316" t="s">
        <v>1592</v>
      </c>
      <c r="F34" s="1289">
        <v>28</v>
      </c>
      <c r="G34" s="586">
        <v>0.57999999999999996</v>
      </c>
      <c r="H34" s="586">
        <v>0.5</v>
      </c>
      <c r="I34" s="586">
        <v>0.4</v>
      </c>
      <c r="J34" s="586">
        <v>0.37</v>
      </c>
      <c r="K34" s="586">
        <v>0.33</v>
      </c>
      <c r="L34" s="586">
        <v>0.30000000000000004</v>
      </c>
      <c r="M34" s="586">
        <v>0.25</v>
      </c>
      <c r="N34" s="492">
        <v>30000</v>
      </c>
      <c r="O34" s="387"/>
      <c r="P34" s="1308"/>
      <c r="Q34" s="1309" t="s">
        <v>1618</v>
      </c>
      <c r="R34" s="1326"/>
      <c r="S34" s="1303" t="s">
        <v>1592</v>
      </c>
      <c r="T34" s="1300">
        <v>28</v>
      </c>
      <c r="U34" s="1301" t="s">
        <v>1655</v>
      </c>
      <c r="V34" s="1301" t="s">
        <v>1655</v>
      </c>
      <c r="W34" s="1311">
        <v>0.4</v>
      </c>
      <c r="X34" s="1304">
        <v>0.37</v>
      </c>
      <c r="Y34" s="1311">
        <v>0.33</v>
      </c>
      <c r="Z34" s="1304">
        <v>0.30000000000000004</v>
      </c>
      <c r="AA34" s="1314">
        <v>0.25</v>
      </c>
      <c r="AB34"/>
      <c r="AC34"/>
    </row>
    <row r="35" spans="2:29">
      <c r="B35" s="584" t="s">
        <v>551</v>
      </c>
      <c r="C35" s="585" t="s">
        <v>1679</v>
      </c>
      <c r="D35" s="585"/>
      <c r="E35" s="1327" t="s">
        <v>1593</v>
      </c>
      <c r="F35" s="1289">
        <v>29</v>
      </c>
      <c r="G35" s="586">
        <v>0.57499999999999996</v>
      </c>
      <c r="H35" s="586">
        <v>0.495</v>
      </c>
      <c r="I35" s="586">
        <v>0.39</v>
      </c>
      <c r="J35" s="586">
        <v>0.36</v>
      </c>
      <c r="K35" s="586">
        <v>0.32</v>
      </c>
      <c r="L35" s="586">
        <v>0.29000000000000004</v>
      </c>
      <c r="M35" s="586">
        <v>0.24</v>
      </c>
      <c r="N35" s="492">
        <v>30000</v>
      </c>
      <c r="O35" s="387"/>
      <c r="P35" s="1308"/>
      <c r="Q35" s="1309"/>
      <c r="R35" s="1310"/>
      <c r="S35" s="1303" t="s">
        <v>1593</v>
      </c>
      <c r="T35" s="1300">
        <v>29</v>
      </c>
      <c r="U35" s="1301" t="s">
        <v>1655</v>
      </c>
      <c r="V35" s="1301" t="s">
        <v>1655</v>
      </c>
      <c r="W35" s="1311">
        <v>0.39</v>
      </c>
      <c r="X35" s="1304">
        <v>0.36</v>
      </c>
      <c r="Y35" s="1311">
        <v>0.32</v>
      </c>
      <c r="Z35" s="1304">
        <v>0.29000000000000004</v>
      </c>
      <c r="AA35" s="1314">
        <v>0.24</v>
      </c>
      <c r="AB35"/>
      <c r="AC35"/>
    </row>
    <row r="36" spans="2:29">
      <c r="B36" s="1169" t="s">
        <v>1729</v>
      </c>
      <c r="C36" s="1170"/>
      <c r="D36" s="1170"/>
      <c r="E36" s="1316" t="s">
        <v>1594</v>
      </c>
      <c r="F36" s="1290">
        <v>30</v>
      </c>
      <c r="G36" s="1171">
        <v>0.56999999999999995</v>
      </c>
      <c r="H36" s="1171">
        <v>0.49</v>
      </c>
      <c r="I36" s="1171">
        <v>0.38</v>
      </c>
      <c r="J36" s="1171">
        <v>0.35</v>
      </c>
      <c r="K36" s="1171">
        <v>0.3</v>
      </c>
      <c r="L36" s="1171">
        <v>0.28000000000000003</v>
      </c>
      <c r="M36" s="1171">
        <v>0.22</v>
      </c>
      <c r="N36" s="1172">
        <v>30000</v>
      </c>
      <c r="O36" s="387"/>
      <c r="P36" s="1308"/>
      <c r="Q36" s="1309" t="s">
        <v>1620</v>
      </c>
      <c r="R36" s="1310" t="s">
        <v>1627</v>
      </c>
      <c r="S36" s="1303" t="s">
        <v>1594</v>
      </c>
      <c r="T36" s="1300">
        <v>30</v>
      </c>
      <c r="U36" s="1301" t="s">
        <v>1655</v>
      </c>
      <c r="V36" s="1301" t="s">
        <v>1655</v>
      </c>
      <c r="W36" s="1311">
        <v>0.38</v>
      </c>
      <c r="X36" s="1304">
        <v>0.35</v>
      </c>
      <c r="Y36" s="1311">
        <v>0.3</v>
      </c>
      <c r="Z36" s="1304">
        <v>0.28000000000000003</v>
      </c>
      <c r="AA36" s="1314">
        <v>0.22</v>
      </c>
      <c r="AB36"/>
      <c r="AC36"/>
    </row>
    <row r="37" spans="2:29">
      <c r="B37" s="1169"/>
      <c r="C37" s="1170" t="s">
        <v>1660</v>
      </c>
      <c r="D37" s="1170"/>
      <c r="E37" s="1327" t="s">
        <v>1595</v>
      </c>
      <c r="F37" s="1290">
        <v>31</v>
      </c>
      <c r="G37" s="1171">
        <v>0.55999999999999994</v>
      </c>
      <c r="H37" s="1171">
        <v>0.48</v>
      </c>
      <c r="I37" s="1171">
        <v>0.37</v>
      </c>
      <c r="J37" s="1171">
        <v>0.33999999999999997</v>
      </c>
      <c r="K37" s="1171">
        <v>0.28999999999999998</v>
      </c>
      <c r="L37" s="1171">
        <v>0.27</v>
      </c>
      <c r="M37" s="1171">
        <v>0.21</v>
      </c>
      <c r="N37" s="492">
        <v>30000</v>
      </c>
      <c r="O37" s="387"/>
      <c r="P37" s="1308"/>
      <c r="Q37" s="1309" t="s">
        <v>1622</v>
      </c>
      <c r="R37" s="1310"/>
      <c r="S37" s="1303" t="s">
        <v>1595</v>
      </c>
      <c r="T37" s="1300">
        <v>31</v>
      </c>
      <c r="U37" s="1301" t="s">
        <v>1655</v>
      </c>
      <c r="V37" s="1301" t="s">
        <v>1655</v>
      </c>
      <c r="W37" s="1311">
        <v>0.37</v>
      </c>
      <c r="X37" s="1304">
        <v>0.33999999999999997</v>
      </c>
      <c r="Y37" s="1311">
        <v>0.28999999999999998</v>
      </c>
      <c r="Z37" s="1304">
        <v>0.27</v>
      </c>
      <c r="AA37" s="1314">
        <v>0.21</v>
      </c>
      <c r="AB37"/>
      <c r="AC37"/>
    </row>
    <row r="38" spans="2:29">
      <c r="B38" s="1332" t="s">
        <v>1408</v>
      </c>
      <c r="C38" s="585"/>
      <c r="D38" s="585"/>
      <c r="E38" s="1316" t="s">
        <v>1596</v>
      </c>
      <c r="F38" s="1289">
        <v>32</v>
      </c>
      <c r="G38" s="586">
        <v>0.55000000000000004</v>
      </c>
      <c r="H38" s="586">
        <v>0.47</v>
      </c>
      <c r="I38" s="586">
        <v>0.36</v>
      </c>
      <c r="J38" s="586">
        <v>0.32999999999999996</v>
      </c>
      <c r="K38" s="586">
        <v>0.28000000000000003</v>
      </c>
      <c r="L38" s="586">
        <v>0.26</v>
      </c>
      <c r="M38" s="586">
        <v>0.2</v>
      </c>
      <c r="N38" s="1172">
        <v>30000</v>
      </c>
      <c r="O38" s="387"/>
      <c r="P38" s="1308"/>
      <c r="Q38" s="1309"/>
      <c r="R38" s="1310"/>
      <c r="S38" s="1303" t="s">
        <v>1596</v>
      </c>
      <c r="T38" s="1300">
        <v>32</v>
      </c>
      <c r="U38" s="1301" t="s">
        <v>1655</v>
      </c>
      <c r="V38" s="1301" t="s">
        <v>1655</v>
      </c>
      <c r="W38" s="1311">
        <v>0.36</v>
      </c>
      <c r="X38" s="1304">
        <v>0.32999999999999996</v>
      </c>
      <c r="Y38" s="1311">
        <v>0.28000000000000003</v>
      </c>
      <c r="Z38" s="1304">
        <v>0.26</v>
      </c>
      <c r="AA38" s="1314">
        <v>0.2</v>
      </c>
      <c r="AB38"/>
      <c r="AC38"/>
    </row>
    <row r="39" spans="2:29">
      <c r="B39" s="1332"/>
      <c r="C39" s="585"/>
      <c r="D39" s="585" t="s">
        <v>1684</v>
      </c>
      <c r="E39" s="1327" t="s">
        <v>1564</v>
      </c>
      <c r="F39" s="1289">
        <v>33</v>
      </c>
      <c r="G39" s="586">
        <v>0.53</v>
      </c>
      <c r="H39" s="586">
        <v>0.45</v>
      </c>
      <c r="I39" s="586">
        <v>0.34</v>
      </c>
      <c r="J39" s="586">
        <v>0.31000000000000005</v>
      </c>
      <c r="K39" s="586">
        <v>0.26</v>
      </c>
      <c r="L39" s="586">
        <v>0.24000000000000002</v>
      </c>
      <c r="M39" s="586">
        <v>0.18</v>
      </c>
      <c r="N39" s="492">
        <v>30000</v>
      </c>
      <c r="O39" s="387"/>
      <c r="P39" s="1308"/>
      <c r="Q39" s="1309" t="s">
        <v>1621</v>
      </c>
      <c r="R39" s="1310"/>
      <c r="S39" s="1303" t="s">
        <v>1564</v>
      </c>
      <c r="T39" s="1300">
        <v>33</v>
      </c>
      <c r="U39" s="1301" t="s">
        <v>1655</v>
      </c>
      <c r="V39" s="1301" t="s">
        <v>1655</v>
      </c>
      <c r="W39" s="1311">
        <v>0.34</v>
      </c>
      <c r="X39" s="1304">
        <v>0.31000000000000005</v>
      </c>
      <c r="Y39" s="1311">
        <v>0.26</v>
      </c>
      <c r="Z39" s="1304">
        <v>0.24000000000000002</v>
      </c>
      <c r="AA39" s="1314">
        <v>0.18</v>
      </c>
      <c r="AB39"/>
      <c r="AC39"/>
    </row>
    <row r="40" spans="2:29">
      <c r="B40" s="1332"/>
      <c r="C40" s="585" t="s">
        <v>1659</v>
      </c>
      <c r="D40" s="585"/>
      <c r="E40" s="1316" t="s">
        <v>1565</v>
      </c>
      <c r="F40" s="1289">
        <v>34</v>
      </c>
      <c r="G40" s="586">
        <v>0.52</v>
      </c>
      <c r="H40" s="586">
        <v>0.44</v>
      </c>
      <c r="I40" s="586">
        <v>0.33</v>
      </c>
      <c r="J40" s="586">
        <v>0.30000000000000004</v>
      </c>
      <c r="K40" s="586">
        <v>0.25</v>
      </c>
      <c r="L40" s="586">
        <v>0.23</v>
      </c>
      <c r="M40" s="586">
        <v>0.17</v>
      </c>
      <c r="N40" s="1172">
        <v>30000</v>
      </c>
      <c r="O40" s="387"/>
      <c r="P40" s="1308"/>
      <c r="Q40" s="1309"/>
      <c r="R40" s="1310"/>
      <c r="S40" s="1303" t="s">
        <v>1565</v>
      </c>
      <c r="T40" s="1300">
        <v>34</v>
      </c>
      <c r="U40" s="1301" t="s">
        <v>1655</v>
      </c>
      <c r="V40" s="1301" t="s">
        <v>1655</v>
      </c>
      <c r="W40" s="1311">
        <v>0.33</v>
      </c>
      <c r="X40" s="1304">
        <v>0.30000000000000004</v>
      </c>
      <c r="Y40" s="1311">
        <v>0.25</v>
      </c>
      <c r="Z40" s="1304">
        <v>0.23</v>
      </c>
      <c r="AA40" s="1314">
        <v>0.17</v>
      </c>
      <c r="AB40"/>
      <c r="AC40"/>
    </row>
    <row r="41" spans="2:29">
      <c r="B41" s="1332"/>
      <c r="C41" s="585" t="s">
        <v>1680</v>
      </c>
      <c r="D41" s="585"/>
      <c r="E41" s="1327" t="s">
        <v>1566</v>
      </c>
      <c r="F41" s="1289">
        <v>35</v>
      </c>
      <c r="G41" s="586">
        <v>0.51</v>
      </c>
      <c r="H41" s="586">
        <v>0.43</v>
      </c>
      <c r="I41" s="586">
        <v>0.32</v>
      </c>
      <c r="J41" s="586">
        <v>0.29000000000000004</v>
      </c>
      <c r="K41" s="586">
        <v>0.24</v>
      </c>
      <c r="L41" s="586">
        <v>0.22</v>
      </c>
      <c r="M41" s="586">
        <v>0.16</v>
      </c>
      <c r="N41" s="492">
        <v>30000</v>
      </c>
      <c r="O41" s="387"/>
      <c r="P41" s="1308"/>
      <c r="Q41" s="1309"/>
      <c r="R41" s="1310"/>
      <c r="S41" s="1303" t="s">
        <v>1566</v>
      </c>
      <c r="T41" s="1300">
        <v>35</v>
      </c>
      <c r="U41" s="1301" t="s">
        <v>1655</v>
      </c>
      <c r="V41" s="1301" t="s">
        <v>1655</v>
      </c>
      <c r="W41" s="1311">
        <v>0.32</v>
      </c>
      <c r="X41" s="1304">
        <v>0.29000000000000004</v>
      </c>
      <c r="Y41" s="1311">
        <v>0.24</v>
      </c>
      <c r="Z41" s="1304">
        <v>0.22</v>
      </c>
      <c r="AA41" s="1314">
        <v>0.16</v>
      </c>
      <c r="AB41"/>
      <c r="AC41"/>
    </row>
    <row r="42" spans="2:29">
      <c r="B42" s="1332"/>
      <c r="C42" s="585"/>
      <c r="D42" s="585"/>
      <c r="E42" s="1316" t="s">
        <v>534</v>
      </c>
      <c r="F42" s="1289">
        <v>36</v>
      </c>
      <c r="G42" s="586">
        <v>0.51</v>
      </c>
      <c r="H42" s="586">
        <v>0.41</v>
      </c>
      <c r="I42" s="586">
        <v>0.31</v>
      </c>
      <c r="J42" s="586">
        <v>0.27</v>
      </c>
      <c r="K42" s="586">
        <v>0.23</v>
      </c>
      <c r="L42" s="586">
        <v>0.19999999999999998</v>
      </c>
      <c r="M42" s="586">
        <v>0.16</v>
      </c>
      <c r="N42" s="1172">
        <v>30000</v>
      </c>
      <c r="O42" s="387"/>
      <c r="P42" s="1308"/>
      <c r="Q42" s="1309"/>
      <c r="R42" s="1310"/>
      <c r="S42" s="1303" t="s">
        <v>534</v>
      </c>
      <c r="T42" s="1300">
        <v>36</v>
      </c>
      <c r="U42" s="1301" t="s">
        <v>1655</v>
      </c>
      <c r="V42" s="1301" t="s">
        <v>1655</v>
      </c>
      <c r="W42" s="1311">
        <v>0.31</v>
      </c>
      <c r="X42" s="1304">
        <v>0.27</v>
      </c>
      <c r="Y42" s="1311">
        <v>0.23</v>
      </c>
      <c r="Z42" s="1304">
        <v>0.19999999999999998</v>
      </c>
      <c r="AA42" s="1314">
        <v>0.16</v>
      </c>
      <c r="AB42"/>
      <c r="AC42"/>
    </row>
    <row r="43" spans="2:29">
      <c r="B43" s="1332"/>
      <c r="C43" s="1244" t="s">
        <v>1658</v>
      </c>
      <c r="D43" s="585" t="s">
        <v>1683</v>
      </c>
      <c r="E43" s="1327" t="s">
        <v>1567</v>
      </c>
      <c r="F43" s="1289">
        <v>37</v>
      </c>
      <c r="G43" s="586">
        <v>0.5</v>
      </c>
      <c r="H43" s="586">
        <v>0.38</v>
      </c>
      <c r="I43" s="586">
        <v>0.3</v>
      </c>
      <c r="J43" s="586">
        <v>0.25</v>
      </c>
      <c r="K43" s="586">
        <v>0.2</v>
      </c>
      <c r="L43" s="586">
        <v>0.18</v>
      </c>
      <c r="M43" s="586">
        <v>0.16</v>
      </c>
      <c r="N43" s="492">
        <v>30000</v>
      </c>
      <c r="O43" s="387"/>
      <c r="P43" s="1308"/>
      <c r="Q43" s="1309"/>
      <c r="R43" s="1310"/>
      <c r="S43" s="1303" t="s">
        <v>1567</v>
      </c>
      <c r="T43" s="1300">
        <v>37</v>
      </c>
      <c r="U43" s="1301" t="s">
        <v>1655</v>
      </c>
      <c r="V43" s="1301" t="s">
        <v>1655</v>
      </c>
      <c r="W43" s="1311">
        <v>0.3</v>
      </c>
      <c r="X43" s="1304">
        <v>0.25</v>
      </c>
      <c r="Y43" s="1311">
        <v>0.2</v>
      </c>
      <c r="Z43" s="1304">
        <v>0.18</v>
      </c>
      <c r="AA43" s="1314">
        <v>0.16</v>
      </c>
      <c r="AB43"/>
      <c r="AC43"/>
    </row>
    <row r="44" spans="2:29">
      <c r="B44" s="1332" t="s">
        <v>1657</v>
      </c>
      <c r="C44" s="1334"/>
      <c r="D44" s="585"/>
      <c r="E44" s="1316" t="s">
        <v>1568</v>
      </c>
      <c r="F44" s="1289">
        <v>38</v>
      </c>
      <c r="G44" s="586">
        <v>0.49</v>
      </c>
      <c r="H44" s="586">
        <v>0.37</v>
      </c>
      <c r="I44" s="586">
        <v>0.28999999999999998</v>
      </c>
      <c r="J44" s="586">
        <v>0.24</v>
      </c>
      <c r="K44" s="586">
        <v>0.19</v>
      </c>
      <c r="L44" s="586">
        <v>0.16999999999999998</v>
      </c>
      <c r="M44" s="586">
        <v>0.16</v>
      </c>
      <c r="N44" s="492">
        <v>30000</v>
      </c>
      <c r="O44" s="387"/>
      <c r="P44" s="1308" t="s">
        <v>1603</v>
      </c>
      <c r="Q44" s="1309"/>
      <c r="R44" s="1310"/>
      <c r="S44" s="1303" t="s">
        <v>1568</v>
      </c>
      <c r="T44" s="1300">
        <v>38</v>
      </c>
      <c r="U44" s="1301" t="s">
        <v>1655</v>
      </c>
      <c r="V44" s="1301" t="s">
        <v>1655</v>
      </c>
      <c r="W44" s="1311">
        <v>0.28999999999999998</v>
      </c>
      <c r="X44" s="1304">
        <v>0.24</v>
      </c>
      <c r="Y44" s="1311">
        <v>0.19</v>
      </c>
      <c r="Z44" s="1304">
        <v>0.16999999999999998</v>
      </c>
      <c r="AA44" s="1314">
        <v>0.16</v>
      </c>
      <c r="AB44"/>
      <c r="AC44"/>
    </row>
    <row r="45" spans="2:29">
      <c r="O45" s="384"/>
      <c r="P45" s="384"/>
    </row>
    <row r="46" spans="2:29">
      <c r="O46" s="384"/>
    </row>
    <row r="47" spans="2:29">
      <c r="O47" s="384"/>
    </row>
    <row r="48" spans="2:29">
      <c r="O48" s="384"/>
    </row>
  </sheetData>
  <mergeCells count="5">
    <mergeCell ref="B1:E1"/>
    <mergeCell ref="C2:E2"/>
    <mergeCell ref="C3:E3"/>
    <mergeCell ref="C4:E4"/>
    <mergeCell ref="P6:R6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9"/>
  <sheetViews>
    <sheetView showGridLines="0" topLeftCell="J1" zoomScale="85" zoomScaleNormal="85" workbookViewId="0">
      <selection activeCell="W29" sqref="W29"/>
    </sheetView>
  </sheetViews>
  <sheetFormatPr defaultRowHeight="13.5"/>
  <cols>
    <col min="1" max="1" width="1.5703125" customWidth="1"/>
    <col min="2" max="2" width="13.5703125" customWidth="1"/>
    <col min="3" max="3" width="14.5703125" bestFit="1" customWidth="1"/>
    <col min="4" max="4" width="12.7109375" customWidth="1"/>
    <col min="5" max="12" width="10.5703125" bestFit="1" customWidth="1"/>
    <col min="13" max="13" width="11.140625" bestFit="1" customWidth="1"/>
    <col min="14" max="14" width="11.7109375" bestFit="1" customWidth="1"/>
    <col min="15" max="15" width="16.42578125" customWidth="1"/>
    <col min="16" max="16" width="12.140625" bestFit="1" customWidth="1"/>
    <col min="17" max="17" width="12.28515625" customWidth="1"/>
    <col min="18" max="18" width="13.28515625" customWidth="1"/>
    <col min="19" max="19" width="21.42578125" bestFit="1" customWidth="1"/>
    <col min="20" max="20" width="13.140625" bestFit="1" customWidth="1"/>
    <col min="21" max="21" width="13.42578125" customWidth="1"/>
    <col min="22" max="22" width="5.85546875" customWidth="1"/>
    <col min="23" max="23" width="53.7109375" style="63" customWidth="1"/>
    <col min="24" max="24" width="16.42578125" customWidth="1"/>
    <col min="25" max="25" width="11.28515625" style="474" customWidth="1"/>
    <col min="26" max="26" width="12.28515625" style="477" bestFit="1" customWidth="1"/>
    <col min="27" max="27" width="9.140625" style="6"/>
  </cols>
  <sheetData>
    <row r="1" spans="2:39" ht="21" customHeight="1" thickBot="1">
      <c r="P1" s="1828" t="s">
        <v>0</v>
      </c>
      <c r="Q1" s="1829"/>
      <c r="R1" s="1830"/>
      <c r="S1" s="2"/>
      <c r="T1" s="2"/>
      <c r="U1" s="2"/>
      <c r="V1" s="2"/>
      <c r="W1" s="1127"/>
      <c r="X1" s="2"/>
      <c r="Y1" s="3"/>
      <c r="AA1" s="60"/>
    </row>
    <row r="2" spans="2:39" ht="12.75">
      <c r="B2" s="1825" t="s">
        <v>1</v>
      </c>
      <c r="C2" s="1827"/>
      <c r="P2" s="1"/>
      <c r="S2" s="4" t="s">
        <v>2</v>
      </c>
      <c r="W2" s="238" t="s">
        <v>957</v>
      </c>
      <c r="X2" s="5"/>
      <c r="Y2" s="992">
        <v>20240103</v>
      </c>
      <c r="Z2" s="1355" t="s">
        <v>1722</v>
      </c>
      <c r="AK2" s="1271"/>
      <c r="AL2" s="1271"/>
      <c r="AM2" s="1271"/>
    </row>
    <row r="3" spans="2:39" thickBot="1">
      <c r="B3" s="553">
        <f>렌터카견적내기!AO3</f>
        <v>3</v>
      </c>
      <c r="C3" s="554" t="str">
        <f>렌터카견적내기!AJ15</f>
        <v>외주탁송사없음</v>
      </c>
      <c r="D3" s="8" t="str">
        <f>LEFT(ADDRESS(1,COLUMN(),2),FIND("$",ADDRESS(1,COLUMN(),2))-1)</f>
        <v>D</v>
      </c>
      <c r="E3" s="8" t="str">
        <f t="shared" ref="E3:N3" si="0">LEFT(ADDRESS(1,COLUMN(),2),FIND("$",ADDRESS(1,COLUMN(),2))-1)</f>
        <v>E</v>
      </c>
      <c r="F3" s="8" t="str">
        <f t="shared" si="0"/>
        <v>F</v>
      </c>
      <c r="G3" s="8" t="str">
        <f t="shared" si="0"/>
        <v>G</v>
      </c>
      <c r="H3" s="8" t="str">
        <f t="shared" si="0"/>
        <v>H</v>
      </c>
      <c r="I3" s="8" t="str">
        <f t="shared" si="0"/>
        <v>I</v>
      </c>
      <c r="J3" s="8" t="str">
        <f t="shared" si="0"/>
        <v>J</v>
      </c>
      <c r="K3" s="8" t="str">
        <f t="shared" si="0"/>
        <v>K</v>
      </c>
      <c r="L3" s="8" t="str">
        <f t="shared" si="0"/>
        <v>L</v>
      </c>
      <c r="M3" s="8" t="str">
        <f t="shared" si="0"/>
        <v>M</v>
      </c>
      <c r="N3" s="8" t="str">
        <f t="shared" si="0"/>
        <v>N</v>
      </c>
      <c r="P3" s="1"/>
      <c r="Q3" s="9" t="s">
        <v>3</v>
      </c>
      <c r="R3" s="10" t="s">
        <v>4</v>
      </c>
      <c r="S3" s="11" t="s">
        <v>5</v>
      </c>
      <c r="T3" s="12" t="s">
        <v>6</v>
      </c>
      <c r="U3" s="12" t="s">
        <v>1737</v>
      </c>
      <c r="W3" s="238" t="s">
        <v>1045</v>
      </c>
      <c r="X3" s="470"/>
      <c r="Y3" s="475">
        <v>77000</v>
      </c>
      <c r="Z3" s="475">
        <v>301000</v>
      </c>
      <c r="AK3" s="1271"/>
      <c r="AL3" s="1271"/>
      <c r="AM3" s="1271"/>
    </row>
    <row r="4" spans="2:39" thickBot="1">
      <c r="B4" s="555" t="s">
        <v>7</v>
      </c>
      <c r="C4" s="556" t="s">
        <v>8</v>
      </c>
      <c r="D4" s="556" t="s">
        <v>9</v>
      </c>
      <c r="E4" s="556"/>
      <c r="F4" s="556"/>
      <c r="G4" s="556" t="s">
        <v>10</v>
      </c>
      <c r="H4" s="556"/>
      <c r="I4" s="556"/>
      <c r="J4" s="556"/>
      <c r="K4" s="556" t="s">
        <v>11</v>
      </c>
      <c r="L4" s="556" t="s">
        <v>12</v>
      </c>
      <c r="M4" s="556"/>
      <c r="N4" s="557" t="s">
        <v>13</v>
      </c>
      <c r="P4" s="1"/>
      <c r="Q4" s="13">
        <f>렌터카견적내기!AO3</f>
        <v>3</v>
      </c>
      <c r="R4" s="10">
        <f>+렌터카견적내기!AQ4</f>
        <v>1</v>
      </c>
      <c r="S4" s="14" t="e">
        <f ca="1">IF(LEFT(렌터카견적내기!AW5,3)="캐스퍼",INDEX('현대제조사탁송료(전기차too)'!T8:U17,R4,Q4),INDEX(Q8:R17,R4,Q4))</f>
        <v>#REF!</v>
      </c>
      <c r="T4" s="15">
        <f ca="1">IFERROR(VLOOKUP(렌터카견적내기!AW4,렌터카모델!C:AK,34,0),"0")</f>
        <v>77000</v>
      </c>
      <c r="U4" s="15">
        <f ca="1">IFERROR(VLOOKUP(렌터카견적내기!AW4,렌터카모델!C:AK,35,0),"0")</f>
        <v>301000</v>
      </c>
      <c r="W4" s="238" t="s">
        <v>1046</v>
      </c>
      <c r="X4" s="470"/>
      <c r="Y4" s="475">
        <v>77000</v>
      </c>
      <c r="Z4" s="475">
        <v>301000</v>
      </c>
      <c r="AK4" s="1271"/>
      <c r="AL4" s="1271"/>
      <c r="AM4" s="1271"/>
    </row>
    <row r="5" spans="2:39" thickBot="1">
      <c r="B5" s="558" t="s">
        <v>14</v>
      </c>
      <c r="C5" s="16"/>
      <c r="D5" s="44" t="s">
        <v>15</v>
      </c>
      <c r="E5" s="44" t="s">
        <v>16</v>
      </c>
      <c r="F5" s="44" t="s">
        <v>17</v>
      </c>
      <c r="G5" s="1286" t="s">
        <v>18</v>
      </c>
      <c r="H5" s="1286" t="s">
        <v>19</v>
      </c>
      <c r="I5" s="1286" t="s">
        <v>20</v>
      </c>
      <c r="J5" s="1286" t="s">
        <v>21</v>
      </c>
      <c r="K5" s="1286" t="s">
        <v>22</v>
      </c>
      <c r="L5" s="1286" t="s">
        <v>23</v>
      </c>
      <c r="M5" s="1286" t="s">
        <v>25</v>
      </c>
      <c r="N5" s="1287" t="s">
        <v>26</v>
      </c>
      <c r="P5" s="1"/>
      <c r="U5" s="427"/>
      <c r="W5" s="238" t="s">
        <v>1047</v>
      </c>
      <c r="X5" s="470"/>
      <c r="Y5" s="475">
        <v>77000</v>
      </c>
      <c r="Z5" s="475">
        <v>301000</v>
      </c>
      <c r="AK5" s="1271"/>
      <c r="AL5" s="1271"/>
      <c r="AM5" s="1271"/>
    </row>
    <row r="6" spans="2:39" ht="26.25" customHeight="1">
      <c r="B6" s="558" t="s">
        <v>27</v>
      </c>
      <c r="C6" s="16"/>
      <c r="D6" s="17" t="s">
        <v>28</v>
      </c>
      <c r="E6" s="17" t="s">
        <v>89</v>
      </c>
      <c r="F6" s="17" t="s">
        <v>1162</v>
      </c>
      <c r="G6" s="17" t="s">
        <v>29</v>
      </c>
      <c r="H6" s="17" t="s">
        <v>1163</v>
      </c>
      <c r="I6" s="17" t="s">
        <v>1534</v>
      </c>
      <c r="J6" s="17" t="s">
        <v>1164</v>
      </c>
      <c r="K6" s="17" t="s">
        <v>1165</v>
      </c>
      <c r="L6" s="17" t="s">
        <v>88</v>
      </c>
      <c r="M6" s="17" t="s">
        <v>1166</v>
      </c>
      <c r="N6" s="559" t="s">
        <v>1167</v>
      </c>
      <c r="P6" s="1824" t="s">
        <v>30</v>
      </c>
      <c r="Q6" s="1824"/>
      <c r="R6" s="1824"/>
      <c r="S6" s="1825" t="s">
        <v>896</v>
      </c>
      <c r="T6" s="1826"/>
      <c r="U6" s="1827"/>
      <c r="W6" s="238" t="s">
        <v>1048</v>
      </c>
      <c r="X6" s="470"/>
      <c r="Y6" s="475">
        <v>77000</v>
      </c>
      <c r="Z6" s="475">
        <v>301000</v>
      </c>
      <c r="AK6" s="1271"/>
      <c r="AL6" s="1271"/>
      <c r="AM6" s="1271"/>
    </row>
    <row r="7" spans="2:39" ht="12.75">
      <c r="B7" s="560" t="s">
        <v>31</v>
      </c>
      <c r="C7" s="19" t="s">
        <v>32</v>
      </c>
      <c r="D7" s="20" t="b">
        <f t="shared" ref="D7:N7" si="1">IF($B$3=1,D35,IF($B$3=2,D81))</f>
        <v>0</v>
      </c>
      <c r="E7" s="20" t="b">
        <f t="shared" si="1"/>
        <v>0</v>
      </c>
      <c r="F7" s="20" t="b">
        <f t="shared" si="1"/>
        <v>0</v>
      </c>
      <c r="G7" s="20" t="b">
        <f t="shared" si="1"/>
        <v>0</v>
      </c>
      <c r="H7" s="20" t="b">
        <f t="shared" si="1"/>
        <v>0</v>
      </c>
      <c r="I7" s="20" t="b">
        <f t="shared" si="1"/>
        <v>0</v>
      </c>
      <c r="J7" s="20" t="b">
        <f t="shared" si="1"/>
        <v>0</v>
      </c>
      <c r="K7" s="20" t="b">
        <f t="shared" si="1"/>
        <v>0</v>
      </c>
      <c r="L7" s="20" t="b">
        <f t="shared" si="1"/>
        <v>0</v>
      </c>
      <c r="M7" s="20" t="b">
        <f t="shared" si="1"/>
        <v>0</v>
      </c>
      <c r="N7" s="561" t="b">
        <f t="shared" si="1"/>
        <v>0</v>
      </c>
      <c r="P7" s="54"/>
      <c r="Q7" s="54" t="s">
        <v>33</v>
      </c>
      <c r="R7" s="5" t="s">
        <v>1508</v>
      </c>
      <c r="S7" s="1"/>
      <c r="T7" s="21" t="s">
        <v>925</v>
      </c>
      <c r="U7" s="22" t="s">
        <v>926</v>
      </c>
      <c r="W7" s="238" t="s">
        <v>966</v>
      </c>
      <c r="X7" s="470"/>
      <c r="Y7" s="475"/>
      <c r="Z7" s="475"/>
      <c r="AK7" s="1271"/>
      <c r="AL7" s="1271"/>
      <c r="AM7" s="1271"/>
    </row>
    <row r="8" spans="2:39" ht="16.5">
      <c r="B8" s="560" t="s">
        <v>34</v>
      </c>
      <c r="C8" s="19" t="s">
        <v>32</v>
      </c>
      <c r="D8" s="20" t="b">
        <f t="shared" ref="D8:N8" si="2">IF($B$3=1,D36,IF($B$3=2,D82))</f>
        <v>0</v>
      </c>
      <c r="E8" s="20" t="b">
        <f t="shared" si="2"/>
        <v>0</v>
      </c>
      <c r="F8" s="20" t="b">
        <f t="shared" si="2"/>
        <v>0</v>
      </c>
      <c r="G8" s="20" t="b">
        <f t="shared" si="2"/>
        <v>0</v>
      </c>
      <c r="H8" s="20" t="b">
        <f t="shared" si="2"/>
        <v>0</v>
      </c>
      <c r="I8" s="20" t="b">
        <f t="shared" si="2"/>
        <v>0</v>
      </c>
      <c r="J8" s="20" t="b">
        <f t="shared" si="2"/>
        <v>0</v>
      </c>
      <c r="K8" s="20" t="b">
        <f t="shared" si="2"/>
        <v>0</v>
      </c>
      <c r="L8" s="20" t="b">
        <f t="shared" si="2"/>
        <v>0</v>
      </c>
      <c r="M8" s="20" t="b">
        <f t="shared" si="2"/>
        <v>0</v>
      </c>
      <c r="N8" s="561" t="b">
        <f t="shared" si="2"/>
        <v>0</v>
      </c>
      <c r="P8" s="425" t="s">
        <v>31</v>
      </c>
      <c r="Q8" s="426">
        <v>231000</v>
      </c>
      <c r="R8" s="426">
        <v>217000</v>
      </c>
      <c r="S8" s="23" t="s">
        <v>31</v>
      </c>
      <c r="T8" s="24">
        <v>115500</v>
      </c>
      <c r="U8" s="25">
        <v>93500</v>
      </c>
      <c r="W8" s="238" t="s">
        <v>1049</v>
      </c>
      <c r="X8" s="470"/>
      <c r="Y8" s="475">
        <v>0</v>
      </c>
      <c r="Z8" s="475">
        <v>178000</v>
      </c>
      <c r="AK8" s="1271"/>
      <c r="AL8" s="1271"/>
      <c r="AM8" s="1271"/>
    </row>
    <row r="9" spans="2:39" ht="16.5">
      <c r="B9" s="560" t="s">
        <v>35</v>
      </c>
      <c r="C9" s="19" t="s">
        <v>32</v>
      </c>
      <c r="D9" s="20" t="b">
        <f t="shared" ref="D9:N9" si="3">IF($B$3=1,D37,IF($B$3=2,D83))</f>
        <v>0</v>
      </c>
      <c r="E9" s="20" t="b">
        <f t="shared" si="3"/>
        <v>0</v>
      </c>
      <c r="F9" s="20" t="b">
        <f t="shared" si="3"/>
        <v>0</v>
      </c>
      <c r="G9" s="20" t="b">
        <f t="shared" si="3"/>
        <v>0</v>
      </c>
      <c r="H9" s="20" t="b">
        <f t="shared" si="3"/>
        <v>0</v>
      </c>
      <c r="I9" s="20" t="b">
        <f t="shared" si="3"/>
        <v>0</v>
      </c>
      <c r="J9" s="20" t="b">
        <f t="shared" si="3"/>
        <v>0</v>
      </c>
      <c r="K9" s="20" t="b">
        <f t="shared" si="3"/>
        <v>0</v>
      </c>
      <c r="L9" s="20" t="b">
        <f t="shared" si="3"/>
        <v>0</v>
      </c>
      <c r="M9" s="20" t="b">
        <f t="shared" si="3"/>
        <v>0</v>
      </c>
      <c r="N9" s="561" t="b">
        <f t="shared" si="3"/>
        <v>0</v>
      </c>
      <c r="P9" s="425" t="s">
        <v>34</v>
      </c>
      <c r="Q9" s="426">
        <v>297000</v>
      </c>
      <c r="R9" s="426">
        <v>273000</v>
      </c>
      <c r="S9" s="26" t="s">
        <v>34</v>
      </c>
      <c r="T9" s="24">
        <v>225500</v>
      </c>
      <c r="U9" s="25">
        <v>203500</v>
      </c>
      <c r="W9" s="238" t="s">
        <v>953</v>
      </c>
      <c r="X9" s="470"/>
      <c r="Y9" s="475">
        <v>0</v>
      </c>
      <c r="Z9" s="475">
        <v>178000</v>
      </c>
      <c r="AK9" s="1271"/>
      <c r="AL9" s="1271"/>
      <c r="AM9" s="1271"/>
    </row>
    <row r="10" spans="2:39" ht="16.5">
      <c r="B10" s="560" t="s">
        <v>36</v>
      </c>
      <c r="C10" s="19" t="s">
        <v>32</v>
      </c>
      <c r="D10" s="20" t="b">
        <f t="shared" ref="D10:N10" si="4">IF($B$3=1,D38,IF($B$3=2,D84))</f>
        <v>0</v>
      </c>
      <c r="E10" s="20" t="b">
        <f t="shared" si="4"/>
        <v>0</v>
      </c>
      <c r="F10" s="20" t="b">
        <f t="shared" si="4"/>
        <v>0</v>
      </c>
      <c r="G10" s="20" t="b">
        <f t="shared" si="4"/>
        <v>0</v>
      </c>
      <c r="H10" s="20" t="b">
        <f t="shared" si="4"/>
        <v>0</v>
      </c>
      <c r="I10" s="20" t="b">
        <f t="shared" si="4"/>
        <v>0</v>
      </c>
      <c r="J10" s="20" t="b">
        <f t="shared" si="4"/>
        <v>0</v>
      </c>
      <c r="K10" s="20" t="b">
        <f t="shared" si="4"/>
        <v>0</v>
      </c>
      <c r="L10" s="20" t="b">
        <f t="shared" si="4"/>
        <v>0</v>
      </c>
      <c r="M10" s="20" t="b">
        <f t="shared" si="4"/>
        <v>0</v>
      </c>
      <c r="N10" s="561" t="b">
        <f t="shared" si="4"/>
        <v>0</v>
      </c>
      <c r="P10" s="425" t="s">
        <v>35</v>
      </c>
      <c r="Q10" s="426">
        <v>247500</v>
      </c>
      <c r="R10" s="426">
        <v>224000</v>
      </c>
      <c r="S10" s="26" t="s">
        <v>35</v>
      </c>
      <c r="T10" s="24">
        <v>176000</v>
      </c>
      <c r="U10" s="25">
        <v>154000</v>
      </c>
      <c r="W10" s="238" t="s">
        <v>1050</v>
      </c>
      <c r="X10" s="470"/>
      <c r="Y10" s="475">
        <v>0</v>
      </c>
      <c r="Z10" s="475">
        <v>178000</v>
      </c>
      <c r="AK10" s="1271"/>
      <c r="AL10" s="1271"/>
      <c r="AM10" s="1271"/>
    </row>
    <row r="11" spans="2:39" ht="16.5">
      <c r="B11" s="560" t="s">
        <v>37</v>
      </c>
      <c r="C11" s="19" t="s">
        <v>32</v>
      </c>
      <c r="D11" s="20" t="b">
        <f t="shared" ref="D11:N11" si="5">IF($B$3=1,D39,IF($B$3=2,D85))</f>
        <v>0</v>
      </c>
      <c r="E11" s="20" t="b">
        <f t="shared" si="5"/>
        <v>0</v>
      </c>
      <c r="F11" s="20" t="b">
        <f t="shared" si="5"/>
        <v>0</v>
      </c>
      <c r="G11" s="20" t="b">
        <f t="shared" si="5"/>
        <v>0</v>
      </c>
      <c r="H11" s="20" t="b">
        <f t="shared" si="5"/>
        <v>0</v>
      </c>
      <c r="I11" s="20" t="b">
        <f t="shared" si="5"/>
        <v>0</v>
      </c>
      <c r="J11" s="20" t="b">
        <f t="shared" si="5"/>
        <v>0</v>
      </c>
      <c r="K11" s="20" t="b">
        <f t="shared" si="5"/>
        <v>0</v>
      </c>
      <c r="L11" s="20" t="b">
        <f t="shared" si="5"/>
        <v>0</v>
      </c>
      <c r="M11" s="20" t="b">
        <f t="shared" si="5"/>
        <v>0</v>
      </c>
      <c r="N11" s="561" t="b">
        <f t="shared" si="5"/>
        <v>0</v>
      </c>
      <c r="P11" s="425" t="s">
        <v>36</v>
      </c>
      <c r="Q11" s="426">
        <v>236500</v>
      </c>
      <c r="R11" s="426">
        <v>216000</v>
      </c>
      <c r="S11" s="26" t="s">
        <v>36</v>
      </c>
      <c r="T11" s="24">
        <v>126500</v>
      </c>
      <c r="U11" s="25">
        <v>104500</v>
      </c>
      <c r="W11" s="238" t="s">
        <v>1051</v>
      </c>
      <c r="X11" s="470"/>
      <c r="Y11" s="475">
        <v>0</v>
      </c>
      <c r="Z11" s="475">
        <v>178000</v>
      </c>
    </row>
    <row r="12" spans="2:39" ht="16.5">
      <c r="B12" s="560" t="s">
        <v>38</v>
      </c>
      <c r="C12" s="19" t="s">
        <v>32</v>
      </c>
      <c r="D12" s="20" t="b">
        <f t="shared" ref="D12:N12" si="6">IF($B$3=1,D40,IF($B$3=2,D86))</f>
        <v>0</v>
      </c>
      <c r="E12" s="20" t="b">
        <f t="shared" si="6"/>
        <v>0</v>
      </c>
      <c r="F12" s="20" t="b">
        <f t="shared" si="6"/>
        <v>0</v>
      </c>
      <c r="G12" s="20" t="b">
        <f t="shared" si="6"/>
        <v>0</v>
      </c>
      <c r="H12" s="20" t="b">
        <f t="shared" si="6"/>
        <v>0</v>
      </c>
      <c r="I12" s="20" t="b">
        <f t="shared" si="6"/>
        <v>0</v>
      </c>
      <c r="J12" s="20" t="b">
        <f t="shared" si="6"/>
        <v>0</v>
      </c>
      <c r="K12" s="20" t="b">
        <f t="shared" si="6"/>
        <v>0</v>
      </c>
      <c r="L12" s="20" t="b">
        <f t="shared" si="6"/>
        <v>0</v>
      </c>
      <c r="M12" s="20" t="b">
        <f t="shared" si="6"/>
        <v>0</v>
      </c>
      <c r="N12" s="561" t="b">
        <f t="shared" si="6"/>
        <v>0</v>
      </c>
      <c r="P12" s="425" t="s">
        <v>37</v>
      </c>
      <c r="Q12" s="426">
        <v>236500</v>
      </c>
      <c r="R12" s="426">
        <v>212000</v>
      </c>
      <c r="S12" s="26" t="s">
        <v>37</v>
      </c>
      <c r="T12" s="24">
        <v>126500</v>
      </c>
      <c r="U12" s="25">
        <v>104500</v>
      </c>
      <c r="W12" s="238" t="s">
        <v>1052</v>
      </c>
      <c r="X12" s="470"/>
      <c r="Y12" s="475">
        <v>0</v>
      </c>
      <c r="Z12" s="475">
        <v>178000</v>
      </c>
    </row>
    <row r="13" spans="2:39" ht="16.5">
      <c r="B13" s="560" t="s">
        <v>39</v>
      </c>
      <c r="C13" s="19" t="s">
        <v>32</v>
      </c>
      <c r="D13" s="20" t="b">
        <f t="shared" ref="D13:N13" si="7">IF($B$3=1,D41,IF($B$3=2,D87))</f>
        <v>0</v>
      </c>
      <c r="E13" s="20" t="b">
        <f t="shared" si="7"/>
        <v>0</v>
      </c>
      <c r="F13" s="20" t="b">
        <f t="shared" si="7"/>
        <v>0</v>
      </c>
      <c r="G13" s="20" t="b">
        <f t="shared" si="7"/>
        <v>0</v>
      </c>
      <c r="H13" s="20" t="b">
        <f t="shared" si="7"/>
        <v>0</v>
      </c>
      <c r="I13" s="20" t="b">
        <f t="shared" si="7"/>
        <v>0</v>
      </c>
      <c r="J13" s="20" t="b">
        <f t="shared" si="7"/>
        <v>0</v>
      </c>
      <c r="K13" s="20" t="b">
        <f t="shared" si="7"/>
        <v>0</v>
      </c>
      <c r="L13" s="20" t="b">
        <f t="shared" si="7"/>
        <v>0</v>
      </c>
      <c r="M13" s="20" t="b">
        <f t="shared" si="7"/>
        <v>0</v>
      </c>
      <c r="N13" s="561" t="b">
        <f t="shared" si="7"/>
        <v>0</v>
      </c>
      <c r="P13" s="425" t="s">
        <v>38</v>
      </c>
      <c r="Q13" s="426">
        <v>247500</v>
      </c>
      <c r="R13" s="426">
        <v>225000</v>
      </c>
      <c r="S13" s="26" t="s">
        <v>38</v>
      </c>
      <c r="T13" s="24">
        <v>187000</v>
      </c>
      <c r="U13" s="25">
        <v>165000</v>
      </c>
      <c r="W13" s="238" t="s">
        <v>968</v>
      </c>
      <c r="X13" s="470"/>
      <c r="Y13" s="475"/>
      <c r="Z13" s="475"/>
    </row>
    <row r="14" spans="2:39" ht="16.5">
      <c r="B14" s="560" t="s">
        <v>40</v>
      </c>
      <c r="C14" s="19" t="s">
        <v>32</v>
      </c>
      <c r="D14" s="20" t="b">
        <f t="shared" ref="D14:N14" si="8">IF($B$3=1,D42,IF($B$3=2,D88))</f>
        <v>0</v>
      </c>
      <c r="E14" s="20" t="b">
        <f t="shared" si="8"/>
        <v>0</v>
      </c>
      <c r="F14" s="20" t="b">
        <f t="shared" si="8"/>
        <v>0</v>
      </c>
      <c r="G14" s="20" t="b">
        <f t="shared" si="8"/>
        <v>0</v>
      </c>
      <c r="H14" s="20" t="b">
        <f t="shared" si="8"/>
        <v>0</v>
      </c>
      <c r="I14" s="20" t="b">
        <f t="shared" si="8"/>
        <v>0</v>
      </c>
      <c r="J14" s="20" t="b">
        <f t="shared" si="8"/>
        <v>0</v>
      </c>
      <c r="K14" s="20" t="b">
        <f t="shared" si="8"/>
        <v>0</v>
      </c>
      <c r="L14" s="20" t="b">
        <f t="shared" si="8"/>
        <v>0</v>
      </c>
      <c r="M14" s="20" t="b">
        <f t="shared" si="8"/>
        <v>0</v>
      </c>
      <c r="N14" s="561" t="b">
        <f t="shared" si="8"/>
        <v>0</v>
      </c>
      <c r="P14" s="425" t="s">
        <v>39</v>
      </c>
      <c r="Q14" s="426">
        <v>269500</v>
      </c>
      <c r="R14" s="426">
        <v>247000</v>
      </c>
      <c r="S14" s="26" t="s">
        <v>39</v>
      </c>
      <c r="T14" s="24">
        <v>247500</v>
      </c>
      <c r="U14" s="25">
        <v>225500</v>
      </c>
      <c r="W14" s="238" t="s">
        <v>1543</v>
      </c>
      <c r="X14" s="470"/>
      <c r="Y14" s="475">
        <v>0</v>
      </c>
      <c r="Z14" s="475">
        <v>178000</v>
      </c>
    </row>
    <row r="15" spans="2:39" ht="16.5">
      <c r="B15" s="560" t="s">
        <v>41</v>
      </c>
      <c r="C15" s="19" t="s">
        <v>32</v>
      </c>
      <c r="D15" s="20" t="b">
        <f t="shared" ref="D15:N15" si="9">IF($B$3=1,D43,IF($B$3=2,D89))</f>
        <v>0</v>
      </c>
      <c r="E15" s="20" t="b">
        <f t="shared" si="9"/>
        <v>0</v>
      </c>
      <c r="F15" s="20" t="b">
        <f t="shared" si="9"/>
        <v>0</v>
      </c>
      <c r="G15" s="20" t="b">
        <f t="shared" si="9"/>
        <v>0</v>
      </c>
      <c r="H15" s="20" t="b">
        <f t="shared" si="9"/>
        <v>0</v>
      </c>
      <c r="I15" s="20" t="b">
        <f t="shared" si="9"/>
        <v>0</v>
      </c>
      <c r="J15" s="20" t="b">
        <f t="shared" si="9"/>
        <v>0</v>
      </c>
      <c r="K15" s="20" t="b">
        <f t="shared" si="9"/>
        <v>0</v>
      </c>
      <c r="L15" s="20" t="b">
        <f t="shared" si="9"/>
        <v>0</v>
      </c>
      <c r="M15" s="20" t="b">
        <f t="shared" si="9"/>
        <v>0</v>
      </c>
      <c r="N15" s="561" t="b">
        <f t="shared" si="9"/>
        <v>0</v>
      </c>
      <c r="P15" s="425" t="s">
        <v>40</v>
      </c>
      <c r="Q15" s="426">
        <v>247500</v>
      </c>
      <c r="R15" s="426">
        <v>225000</v>
      </c>
      <c r="S15" s="26" t="s">
        <v>40</v>
      </c>
      <c r="T15" s="24">
        <v>209000</v>
      </c>
      <c r="U15" s="25">
        <v>187000</v>
      </c>
      <c r="W15" s="238" t="s">
        <v>1544</v>
      </c>
      <c r="X15" s="470"/>
      <c r="Y15" s="475">
        <v>0</v>
      </c>
      <c r="Z15" s="475">
        <v>178000</v>
      </c>
    </row>
    <row r="16" spans="2:39" ht="17.25" thickBot="1">
      <c r="B16" s="562" t="s">
        <v>42</v>
      </c>
      <c r="C16" s="550" t="s">
        <v>32</v>
      </c>
      <c r="D16" s="563" t="b">
        <f t="shared" ref="D16:N16" si="10">IF($B$3=1,D44,IF($B$3=2,D90))</f>
        <v>0</v>
      </c>
      <c r="E16" s="563" t="b">
        <f t="shared" si="10"/>
        <v>0</v>
      </c>
      <c r="F16" s="563" t="b">
        <f t="shared" si="10"/>
        <v>0</v>
      </c>
      <c r="G16" s="563" t="b">
        <f t="shared" si="10"/>
        <v>0</v>
      </c>
      <c r="H16" s="563" t="b">
        <f t="shared" si="10"/>
        <v>0</v>
      </c>
      <c r="I16" s="563" t="b">
        <f t="shared" si="10"/>
        <v>0</v>
      </c>
      <c r="J16" s="563" t="b">
        <f t="shared" si="10"/>
        <v>0</v>
      </c>
      <c r="K16" s="563" t="b">
        <f t="shared" si="10"/>
        <v>0</v>
      </c>
      <c r="L16" s="563" t="b">
        <f t="shared" si="10"/>
        <v>0</v>
      </c>
      <c r="M16" s="563" t="b">
        <f t="shared" si="10"/>
        <v>0</v>
      </c>
      <c r="N16" s="564" t="b">
        <f t="shared" si="10"/>
        <v>0</v>
      </c>
      <c r="P16" s="425" t="s">
        <v>41</v>
      </c>
      <c r="Q16" s="426">
        <v>269500</v>
      </c>
      <c r="R16" s="426">
        <v>247000</v>
      </c>
      <c r="S16" s="26" t="s">
        <v>41</v>
      </c>
      <c r="T16" s="24">
        <v>247500</v>
      </c>
      <c r="U16" s="25">
        <v>225500</v>
      </c>
      <c r="W16" s="238" t="s">
        <v>1545</v>
      </c>
      <c r="X16" s="470"/>
      <c r="Y16" s="475">
        <v>0</v>
      </c>
      <c r="Z16" s="475">
        <v>178000</v>
      </c>
    </row>
    <row r="17" spans="2:26" ht="17.25" thickBot="1">
      <c r="P17" s="425" t="s">
        <v>42</v>
      </c>
      <c r="Q17" s="426">
        <v>385000</v>
      </c>
      <c r="R17" s="426">
        <v>450000</v>
      </c>
      <c r="S17" s="27" t="s">
        <v>42</v>
      </c>
      <c r="T17" s="28">
        <v>385000</v>
      </c>
      <c r="U17" s="29">
        <v>363000</v>
      </c>
      <c r="W17" s="238" t="s">
        <v>1546</v>
      </c>
      <c r="X17" s="470"/>
      <c r="Y17" s="475">
        <v>0</v>
      </c>
      <c r="Z17" s="475">
        <v>178000</v>
      </c>
    </row>
    <row r="18" spans="2:26" thickBot="1">
      <c r="B18" s="43" t="s">
        <v>43</v>
      </c>
      <c r="W18" s="238" t="s">
        <v>970</v>
      </c>
      <c r="X18" s="470"/>
      <c r="Y18" s="475"/>
      <c r="Z18" s="475"/>
    </row>
    <row r="19" spans="2:26" thickBot="1">
      <c r="B19" s="551" t="s">
        <v>44</v>
      </c>
      <c r="C19" s="552" t="s">
        <v>45</v>
      </c>
      <c r="W19" s="238" t="s">
        <v>1053</v>
      </c>
      <c r="X19" s="470"/>
      <c r="Y19" s="475">
        <v>78000</v>
      </c>
      <c r="Z19" s="475">
        <v>302000</v>
      </c>
    </row>
    <row r="20" spans="2:26" ht="12.75">
      <c r="B20" s="572" t="s">
        <v>46</v>
      </c>
      <c r="C20" s="548" t="b">
        <f t="shared" ref="C20:C29" si="11">IF($B$3=1,G48,IF($B$3=2,G94))</f>
        <v>0</v>
      </c>
      <c r="D20" s="427"/>
      <c r="F20" s="421"/>
      <c r="P20" s="1834" t="s">
        <v>47</v>
      </c>
      <c r="Q20" s="1835"/>
      <c r="R20" s="1835"/>
      <c r="S20" s="1835"/>
      <c r="T20" s="1835"/>
      <c r="U20" s="1836"/>
      <c r="W20" s="238" t="s">
        <v>1054</v>
      </c>
      <c r="X20" s="470"/>
      <c r="Y20" s="475">
        <v>78000</v>
      </c>
      <c r="Z20" s="475">
        <v>302000</v>
      </c>
    </row>
    <row r="21" spans="2:26" thickBot="1">
      <c r="B21" s="572" t="s">
        <v>48</v>
      </c>
      <c r="C21" s="548" t="b">
        <f t="shared" si="11"/>
        <v>0</v>
      </c>
      <c r="P21" s="1831" t="str">
        <f ca="1">IF(AND(렌터카견적내기!AO5=1,렌터카견적내기!AW18="기아"),"약정입력 時 기타부대비용 ▶▶"&amp;"["&amp;AJ29&amp;"]"&amp;"원을 추가로 입력하세요! 의무보험가입대상입니다.",IF(렌터카견적내기!AO4=4,"칠곡센터출고 건 약정 입력시 복합탁송 ▶[제조사탁송료"&amp;'현대제조사탁송료(전기차too)'!T4&amp;"원] 입력",""))</f>
        <v/>
      </c>
      <c r="Q21" s="1832"/>
      <c r="R21" s="1832"/>
      <c r="S21" s="1832"/>
      <c r="T21" s="1832"/>
      <c r="U21" s="1833"/>
      <c r="W21" s="238" t="s">
        <v>1055</v>
      </c>
      <c r="X21" s="470"/>
      <c r="Y21" s="475">
        <v>78000</v>
      </c>
      <c r="Z21" s="475">
        <v>302000</v>
      </c>
    </row>
    <row r="22" spans="2:26" ht="12.75">
      <c r="B22" s="572" t="s">
        <v>49</v>
      </c>
      <c r="C22" s="548" t="b">
        <f t="shared" si="11"/>
        <v>0</v>
      </c>
      <c r="W22" s="179" t="s">
        <v>1175</v>
      </c>
      <c r="X22" s="470"/>
      <c r="Y22" s="475"/>
      <c r="Z22" s="475"/>
    </row>
    <row r="23" spans="2:26" ht="12.75">
      <c r="B23" s="572" t="s">
        <v>50</v>
      </c>
      <c r="C23" s="548" t="b">
        <f t="shared" si="11"/>
        <v>0</v>
      </c>
      <c r="M23" s="443"/>
      <c r="W23" s="179" t="s">
        <v>1339</v>
      </c>
      <c r="X23" s="470"/>
      <c r="Y23" s="475">
        <v>80000</v>
      </c>
      <c r="Z23" s="475">
        <v>304000</v>
      </c>
    </row>
    <row r="24" spans="2:26" ht="12.75">
      <c r="B24" s="572" t="s">
        <v>51</v>
      </c>
      <c r="C24" s="548" t="b">
        <f t="shared" si="11"/>
        <v>0</v>
      </c>
      <c r="P24" s="1824" t="s">
        <v>1734</v>
      </c>
      <c r="Q24" s="1824"/>
      <c r="R24" s="1824"/>
      <c r="S24" s="1824" t="s">
        <v>1731</v>
      </c>
      <c r="T24" s="1824"/>
      <c r="U24" s="1824"/>
      <c r="W24" s="179" t="s">
        <v>1340</v>
      </c>
      <c r="X24" s="470"/>
      <c r="Y24" s="475">
        <v>80000</v>
      </c>
      <c r="Z24" s="475">
        <v>304000</v>
      </c>
    </row>
    <row r="25" spans="2:26" ht="12.75">
      <c r="B25" s="572" t="s">
        <v>52</v>
      </c>
      <c r="C25" s="548" t="b">
        <f t="shared" si="11"/>
        <v>0</v>
      </c>
      <c r="P25" s="54"/>
      <c r="Q25" s="54" t="s">
        <v>33</v>
      </c>
      <c r="R25" s="5" t="s">
        <v>1508</v>
      </c>
      <c r="S25" s="54"/>
      <c r="T25" s="54" t="s">
        <v>33</v>
      </c>
      <c r="U25" s="5" t="s">
        <v>1508</v>
      </c>
      <c r="W25" s="179" t="s">
        <v>1341</v>
      </c>
      <c r="X25" s="470"/>
      <c r="Y25" s="475">
        <v>80000</v>
      </c>
      <c r="Z25" s="475">
        <v>304000</v>
      </c>
    </row>
    <row r="26" spans="2:26" ht="16.5">
      <c r="B26" s="572" t="s">
        <v>53</v>
      </c>
      <c r="C26" s="548" t="b">
        <f t="shared" si="11"/>
        <v>0</v>
      </c>
      <c r="M26" s="427"/>
      <c r="P26" s="425" t="s">
        <v>31</v>
      </c>
      <c r="Q26" s="426">
        <v>132000</v>
      </c>
      <c r="R26" s="426">
        <v>217000</v>
      </c>
      <c r="S26" s="425" t="s">
        <v>31</v>
      </c>
      <c r="T26" s="426">
        <v>148500</v>
      </c>
      <c r="U26" s="426">
        <v>217000</v>
      </c>
      <c r="W26" s="179" t="s">
        <v>1342</v>
      </c>
      <c r="X26" s="470"/>
      <c r="Y26" s="475">
        <v>80000</v>
      </c>
      <c r="Z26" s="475">
        <v>304000</v>
      </c>
    </row>
    <row r="27" spans="2:26" ht="16.5">
      <c r="B27" s="572" t="s">
        <v>54</v>
      </c>
      <c r="C27" s="548" t="b">
        <f t="shared" si="11"/>
        <v>0</v>
      </c>
      <c r="P27" s="425" t="s">
        <v>34</v>
      </c>
      <c r="Q27" s="426">
        <v>198000</v>
      </c>
      <c r="R27" s="426">
        <v>273000</v>
      </c>
      <c r="S27" s="425" t="s">
        <v>34</v>
      </c>
      <c r="T27" s="426">
        <v>242000</v>
      </c>
      <c r="U27" s="426">
        <v>273000</v>
      </c>
      <c r="W27" s="179" t="s">
        <v>1343</v>
      </c>
      <c r="X27" s="470"/>
      <c r="Y27" s="475">
        <v>80000</v>
      </c>
      <c r="Z27" s="475">
        <v>304000</v>
      </c>
    </row>
    <row r="28" spans="2:26" ht="16.5">
      <c r="B28" s="572" t="s">
        <v>55</v>
      </c>
      <c r="C28" s="548" t="b">
        <f t="shared" si="11"/>
        <v>0</v>
      </c>
      <c r="P28" s="425" t="s">
        <v>35</v>
      </c>
      <c r="Q28" s="426">
        <v>148500</v>
      </c>
      <c r="R28" s="426">
        <v>224000</v>
      </c>
      <c r="S28" s="425" t="s">
        <v>35</v>
      </c>
      <c r="T28" s="426">
        <v>198000</v>
      </c>
      <c r="U28" s="426">
        <v>224000</v>
      </c>
      <c r="W28" s="179" t="s">
        <v>1344</v>
      </c>
      <c r="X28" s="470"/>
      <c r="Y28" s="475">
        <v>80000</v>
      </c>
      <c r="Z28" s="475">
        <v>304000</v>
      </c>
    </row>
    <row r="29" spans="2:26" ht="17.25" thickBot="1">
      <c r="B29" s="574" t="s">
        <v>56</v>
      </c>
      <c r="C29" s="1285" t="b">
        <f t="shared" si="11"/>
        <v>0</v>
      </c>
      <c r="P29" s="425" t="s">
        <v>36</v>
      </c>
      <c r="Q29" s="426">
        <v>137500</v>
      </c>
      <c r="R29" s="426">
        <v>216000</v>
      </c>
      <c r="S29" s="425" t="s">
        <v>36</v>
      </c>
      <c r="T29" s="426">
        <v>192500</v>
      </c>
      <c r="U29" s="426">
        <v>216000</v>
      </c>
      <c r="W29" s="179" t="s">
        <v>1345</v>
      </c>
      <c r="X29" s="470"/>
      <c r="Y29" s="475">
        <v>80000</v>
      </c>
      <c r="Z29" s="475">
        <v>304000</v>
      </c>
    </row>
    <row r="30" spans="2:26" ht="17.25" thickBot="1">
      <c r="P30" s="425" t="s">
        <v>37</v>
      </c>
      <c r="Q30" s="426">
        <v>137500</v>
      </c>
      <c r="R30" s="426">
        <v>212000</v>
      </c>
      <c r="S30" s="425" t="s">
        <v>37</v>
      </c>
      <c r="T30" s="426">
        <v>192500</v>
      </c>
      <c r="U30" s="426">
        <v>212000</v>
      </c>
      <c r="W30" s="179" t="s">
        <v>1346</v>
      </c>
      <c r="X30" s="470"/>
      <c r="Y30" s="475">
        <v>80000</v>
      </c>
      <c r="Z30" s="475">
        <v>304000</v>
      </c>
    </row>
    <row r="31" spans="2:26" ht="17.25" thickBot="1">
      <c r="B31" s="33" t="s">
        <v>57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25" t="s">
        <v>38</v>
      </c>
      <c r="Q31" s="426">
        <v>148500</v>
      </c>
      <c r="R31" s="426">
        <v>225000</v>
      </c>
      <c r="S31" s="425" t="s">
        <v>38</v>
      </c>
      <c r="T31" s="426">
        <v>253000</v>
      </c>
      <c r="U31" s="426">
        <v>225000</v>
      </c>
      <c r="W31" s="179" t="s">
        <v>1347</v>
      </c>
      <c r="X31" s="470"/>
      <c r="Y31" s="475">
        <v>80000</v>
      </c>
      <c r="Z31" s="475">
        <v>304000</v>
      </c>
    </row>
    <row r="32" spans="2:26" ht="16.5">
      <c r="B32" s="544" t="s">
        <v>7</v>
      </c>
      <c r="C32" s="545" t="s">
        <v>8</v>
      </c>
      <c r="D32" s="545" t="s">
        <v>9</v>
      </c>
      <c r="E32" s="545"/>
      <c r="F32" s="545"/>
      <c r="G32" s="545" t="s">
        <v>10</v>
      </c>
      <c r="H32" s="545"/>
      <c r="I32" s="545"/>
      <c r="J32" s="545"/>
      <c r="K32" s="545" t="s">
        <v>11</v>
      </c>
      <c r="L32" s="545" t="s">
        <v>12</v>
      </c>
      <c r="M32" s="545"/>
      <c r="N32" s="546" t="s">
        <v>13</v>
      </c>
      <c r="P32" s="425" t="s">
        <v>39</v>
      </c>
      <c r="Q32" s="426">
        <v>170500</v>
      </c>
      <c r="R32" s="426">
        <v>247000</v>
      </c>
      <c r="S32" s="425" t="s">
        <v>39</v>
      </c>
      <c r="T32" s="426">
        <v>264000</v>
      </c>
      <c r="U32" s="426">
        <v>247000</v>
      </c>
      <c r="W32" s="179" t="s">
        <v>1348</v>
      </c>
      <c r="X32" s="470"/>
      <c r="Y32" s="475">
        <v>80000</v>
      </c>
      <c r="Z32" s="475">
        <v>304000</v>
      </c>
    </row>
    <row r="33" spans="1:26" ht="16.5">
      <c r="B33" s="541" t="s">
        <v>14</v>
      </c>
      <c r="C33" s="35"/>
      <c r="D33" s="36" t="s">
        <v>15</v>
      </c>
      <c r="E33" s="36" t="s">
        <v>16</v>
      </c>
      <c r="F33" s="36" t="s">
        <v>17</v>
      </c>
      <c r="G33" s="540" t="s">
        <v>18</v>
      </c>
      <c r="H33" s="540" t="s">
        <v>19</v>
      </c>
      <c r="I33" s="540" t="s">
        <v>20</v>
      </c>
      <c r="J33" s="540" t="s">
        <v>21</v>
      </c>
      <c r="K33" s="540" t="s">
        <v>22</v>
      </c>
      <c r="L33" s="540" t="s">
        <v>23</v>
      </c>
      <c r="M33" s="540" t="s">
        <v>25</v>
      </c>
      <c r="N33" s="547" t="s">
        <v>26</v>
      </c>
      <c r="O33" s="7"/>
      <c r="P33" s="425" t="s">
        <v>40</v>
      </c>
      <c r="Q33" s="426">
        <v>148500</v>
      </c>
      <c r="R33" s="426">
        <v>225000</v>
      </c>
      <c r="S33" s="425" t="s">
        <v>40</v>
      </c>
      <c r="T33" s="426">
        <v>242000</v>
      </c>
      <c r="U33" s="426">
        <v>225000</v>
      </c>
      <c r="W33" s="179" t="s">
        <v>1349</v>
      </c>
      <c r="X33" s="470"/>
      <c r="Y33" s="475">
        <v>80000</v>
      </c>
      <c r="Z33" s="475">
        <v>304000</v>
      </c>
    </row>
    <row r="34" spans="1:26" s="34" customFormat="1" ht="33.75">
      <c r="A34"/>
      <c r="B34" s="541" t="s">
        <v>27</v>
      </c>
      <c r="C34" s="35"/>
      <c r="D34" s="17" t="s">
        <v>28</v>
      </c>
      <c r="E34" s="17" t="s">
        <v>89</v>
      </c>
      <c r="F34" s="17" t="s">
        <v>1162</v>
      </c>
      <c r="G34" s="17" t="s">
        <v>29</v>
      </c>
      <c r="H34" s="17" t="s">
        <v>1163</v>
      </c>
      <c r="I34" s="17" t="s">
        <v>1168</v>
      </c>
      <c r="J34" s="17" t="s">
        <v>1164</v>
      </c>
      <c r="K34" s="17" t="s">
        <v>1165</v>
      </c>
      <c r="L34" s="17" t="s">
        <v>88</v>
      </c>
      <c r="M34" s="17" t="s">
        <v>1166</v>
      </c>
      <c r="N34" s="559" t="s">
        <v>1167</v>
      </c>
      <c r="O34" s="7"/>
      <c r="P34" s="425" t="s">
        <v>41</v>
      </c>
      <c r="Q34" s="426">
        <v>170500</v>
      </c>
      <c r="R34" s="426">
        <v>247000</v>
      </c>
      <c r="S34" s="425" t="s">
        <v>41</v>
      </c>
      <c r="T34" s="426">
        <v>253000</v>
      </c>
      <c r="U34" s="426">
        <v>247000</v>
      </c>
      <c r="W34" s="179" t="s">
        <v>1350</v>
      </c>
      <c r="X34" s="470"/>
      <c r="Y34" s="475">
        <v>80000</v>
      </c>
      <c r="Z34" s="475">
        <v>304000</v>
      </c>
    </row>
    <row r="35" spans="1:26" ht="16.5">
      <c r="B35" s="37" t="s">
        <v>31</v>
      </c>
      <c r="C35" s="19" t="s">
        <v>32</v>
      </c>
      <c r="D35" s="38">
        <v>115500</v>
      </c>
      <c r="E35" s="38">
        <v>231000</v>
      </c>
      <c r="F35" s="39">
        <v>231000</v>
      </c>
      <c r="G35" s="38">
        <v>132000</v>
      </c>
      <c r="H35" s="38">
        <v>126500</v>
      </c>
      <c r="I35" s="38">
        <v>121000</v>
      </c>
      <c r="J35" s="38">
        <v>209000</v>
      </c>
      <c r="K35" s="40">
        <v>253000</v>
      </c>
      <c r="L35" s="40">
        <v>137500</v>
      </c>
      <c r="M35" s="40">
        <v>242000</v>
      </c>
      <c r="N35" s="548">
        <v>77000</v>
      </c>
      <c r="O35" s="7"/>
      <c r="P35" s="425" t="s">
        <v>42</v>
      </c>
      <c r="Q35" s="426">
        <v>286000</v>
      </c>
      <c r="R35" s="426">
        <v>450000</v>
      </c>
      <c r="S35" s="425" t="s">
        <v>42</v>
      </c>
      <c r="T35" s="426">
        <v>385000</v>
      </c>
      <c r="U35" s="426">
        <v>450000</v>
      </c>
      <c r="W35" s="476" t="s">
        <v>972</v>
      </c>
      <c r="X35" s="470"/>
      <c r="Y35" s="475"/>
      <c r="Z35" s="475"/>
    </row>
    <row r="36" spans="1:26" ht="12.75">
      <c r="B36" s="37" t="s">
        <v>34</v>
      </c>
      <c r="C36" s="19" t="s">
        <v>32</v>
      </c>
      <c r="D36" s="40">
        <v>225500</v>
      </c>
      <c r="E36" s="40">
        <v>297000</v>
      </c>
      <c r="F36" s="39">
        <v>297000</v>
      </c>
      <c r="G36" s="40">
        <v>236500</v>
      </c>
      <c r="H36" s="40">
        <v>187000</v>
      </c>
      <c r="I36" s="40">
        <v>176000</v>
      </c>
      <c r="J36" s="40">
        <v>313500</v>
      </c>
      <c r="K36" s="40">
        <v>330000</v>
      </c>
      <c r="L36" s="40">
        <v>242000</v>
      </c>
      <c r="M36" s="40">
        <v>330000</v>
      </c>
      <c r="N36" s="548">
        <v>209000</v>
      </c>
      <c r="O36" s="7"/>
      <c r="W36" s="476" t="s">
        <v>1933</v>
      </c>
      <c r="X36" s="470"/>
      <c r="Y36" s="475">
        <v>81000</v>
      </c>
      <c r="Z36" s="475">
        <v>291000</v>
      </c>
    </row>
    <row r="37" spans="1:26" ht="18" customHeight="1">
      <c r="B37" s="37" t="s">
        <v>35</v>
      </c>
      <c r="C37" s="19" t="s">
        <v>32</v>
      </c>
      <c r="D37" s="40">
        <v>176000</v>
      </c>
      <c r="E37" s="40">
        <v>297000</v>
      </c>
      <c r="F37" s="39">
        <v>297000</v>
      </c>
      <c r="G37" s="40">
        <v>192500</v>
      </c>
      <c r="H37" s="40">
        <v>132000</v>
      </c>
      <c r="I37" s="40">
        <v>121000</v>
      </c>
      <c r="J37" s="40">
        <v>264000</v>
      </c>
      <c r="K37" s="40">
        <v>308000</v>
      </c>
      <c r="L37" s="40">
        <v>187000</v>
      </c>
      <c r="M37" s="40">
        <v>297000</v>
      </c>
      <c r="N37" s="548">
        <v>154000</v>
      </c>
      <c r="O37" s="7"/>
      <c r="P37" s="1824" t="s">
        <v>1733</v>
      </c>
      <c r="Q37" s="1824"/>
      <c r="R37" s="1824"/>
      <c r="S37" s="1824" t="s">
        <v>1732</v>
      </c>
      <c r="T37" s="1824"/>
      <c r="U37" s="1824"/>
      <c r="W37" s="476" t="s">
        <v>1934</v>
      </c>
      <c r="X37" s="470"/>
      <c r="Y37" s="475">
        <v>81000</v>
      </c>
      <c r="Z37" s="475">
        <v>291000</v>
      </c>
    </row>
    <row r="38" spans="1:26" ht="12.75">
      <c r="B38" s="37" t="s">
        <v>36</v>
      </c>
      <c r="C38" s="19" t="s">
        <v>32</v>
      </c>
      <c r="D38" s="40">
        <v>126500</v>
      </c>
      <c r="E38" s="40">
        <v>225500</v>
      </c>
      <c r="F38" s="39">
        <v>225500</v>
      </c>
      <c r="G38" s="40">
        <v>143000</v>
      </c>
      <c r="H38" s="40">
        <v>137500</v>
      </c>
      <c r="I38" s="40">
        <v>132000</v>
      </c>
      <c r="J38" s="40">
        <v>203500</v>
      </c>
      <c r="K38" s="40">
        <v>220000</v>
      </c>
      <c r="L38" s="40">
        <v>154000</v>
      </c>
      <c r="M38" s="40">
        <v>236500</v>
      </c>
      <c r="N38" s="548">
        <v>88000</v>
      </c>
      <c r="O38" s="7"/>
      <c r="P38" s="54"/>
      <c r="Q38" s="54" t="s">
        <v>33</v>
      </c>
      <c r="R38" s="5" t="s">
        <v>1508</v>
      </c>
      <c r="S38" s="54"/>
      <c r="T38" s="54" t="s">
        <v>33</v>
      </c>
      <c r="U38" s="5" t="s">
        <v>1508</v>
      </c>
      <c r="W38" s="476" t="s">
        <v>1935</v>
      </c>
      <c r="X38" s="470"/>
      <c r="Y38" s="475">
        <v>81000</v>
      </c>
      <c r="Z38" s="475">
        <v>291000</v>
      </c>
    </row>
    <row r="39" spans="1:26" ht="16.5">
      <c r="B39" s="37" t="s">
        <v>37</v>
      </c>
      <c r="C39" s="19" t="s">
        <v>32</v>
      </c>
      <c r="D39" s="40">
        <v>126500</v>
      </c>
      <c r="E39" s="40">
        <v>225500</v>
      </c>
      <c r="F39" s="39">
        <v>225500</v>
      </c>
      <c r="G39" s="40">
        <v>143000</v>
      </c>
      <c r="H39" s="40">
        <v>198000</v>
      </c>
      <c r="I39" s="40">
        <v>187000</v>
      </c>
      <c r="J39" s="40">
        <v>192500</v>
      </c>
      <c r="K39" s="40">
        <v>209000</v>
      </c>
      <c r="L39" s="40">
        <v>137500</v>
      </c>
      <c r="M39" s="40">
        <v>209000</v>
      </c>
      <c r="N39" s="548">
        <v>88000</v>
      </c>
      <c r="O39" s="7"/>
      <c r="P39" s="425" t="s">
        <v>31</v>
      </c>
      <c r="Q39" s="426">
        <v>99000</v>
      </c>
      <c r="R39" s="426">
        <v>217000</v>
      </c>
      <c r="S39" s="425" t="s">
        <v>31</v>
      </c>
      <c r="T39" s="426">
        <v>148500</v>
      </c>
      <c r="U39" s="426">
        <v>217000</v>
      </c>
      <c r="W39" s="179" t="s">
        <v>1936</v>
      </c>
      <c r="X39" s="470"/>
      <c r="Y39" s="475">
        <v>81000</v>
      </c>
      <c r="Z39" s="475">
        <v>291000</v>
      </c>
    </row>
    <row r="40" spans="1:26" ht="16.5">
      <c r="B40" s="37" t="s">
        <v>38</v>
      </c>
      <c r="C40" s="19" t="s">
        <v>32</v>
      </c>
      <c r="D40" s="40">
        <v>187000</v>
      </c>
      <c r="E40" s="40">
        <v>231000</v>
      </c>
      <c r="F40" s="39">
        <v>231000</v>
      </c>
      <c r="G40" s="40">
        <v>198000</v>
      </c>
      <c r="H40" s="40">
        <v>247500</v>
      </c>
      <c r="I40" s="40">
        <v>242000</v>
      </c>
      <c r="J40" s="40">
        <v>187000</v>
      </c>
      <c r="K40" s="40">
        <v>225500</v>
      </c>
      <c r="L40" s="40">
        <v>198000</v>
      </c>
      <c r="M40" s="40">
        <v>225500</v>
      </c>
      <c r="N40" s="548">
        <v>154000</v>
      </c>
      <c r="O40" s="7"/>
      <c r="P40" s="425" t="s">
        <v>34</v>
      </c>
      <c r="Q40" s="426">
        <v>181500</v>
      </c>
      <c r="R40" s="426">
        <v>273000</v>
      </c>
      <c r="S40" s="425" t="s">
        <v>34</v>
      </c>
      <c r="T40" s="426">
        <v>242000</v>
      </c>
      <c r="U40" s="426">
        <v>273000</v>
      </c>
      <c r="W40" s="343" t="s">
        <v>1937</v>
      </c>
      <c r="X40" s="54"/>
      <c r="Y40" s="475">
        <v>81000</v>
      </c>
      <c r="Z40" s="475">
        <v>291000</v>
      </c>
    </row>
    <row r="41" spans="1:26" ht="16.5">
      <c r="B41" s="37" t="s">
        <v>39</v>
      </c>
      <c r="C41" s="19" t="s">
        <v>32</v>
      </c>
      <c r="D41" s="40">
        <v>247500</v>
      </c>
      <c r="E41" s="40">
        <v>253000</v>
      </c>
      <c r="F41" s="39">
        <v>253000</v>
      </c>
      <c r="G41" s="40">
        <v>253000</v>
      </c>
      <c r="H41" s="40">
        <v>225500</v>
      </c>
      <c r="I41" s="40">
        <v>220000</v>
      </c>
      <c r="J41" s="40">
        <v>165000</v>
      </c>
      <c r="K41" s="40">
        <v>258500</v>
      </c>
      <c r="L41" s="40">
        <v>258500</v>
      </c>
      <c r="M41" s="40">
        <v>258500</v>
      </c>
      <c r="N41" s="548">
        <v>209000</v>
      </c>
      <c r="O41" s="7"/>
      <c r="P41" s="425" t="s">
        <v>35</v>
      </c>
      <c r="Q41" s="426">
        <v>126500</v>
      </c>
      <c r="R41" s="426">
        <v>224000</v>
      </c>
      <c r="S41" s="425" t="s">
        <v>35</v>
      </c>
      <c r="T41" s="426">
        <v>198000</v>
      </c>
      <c r="U41" s="426">
        <v>224000</v>
      </c>
      <c r="W41" s="343" t="s">
        <v>1938</v>
      </c>
      <c r="X41" s="54"/>
      <c r="Y41" s="475">
        <v>81000</v>
      </c>
      <c r="Z41" s="475">
        <v>291000</v>
      </c>
    </row>
    <row r="42" spans="1:26" ht="16.5">
      <c r="B42" s="37" t="s">
        <v>40</v>
      </c>
      <c r="C42" s="19" t="s">
        <v>32</v>
      </c>
      <c r="D42" s="40">
        <v>209000</v>
      </c>
      <c r="E42" s="40">
        <v>209000</v>
      </c>
      <c r="F42" s="39">
        <v>209000</v>
      </c>
      <c r="G42" s="40">
        <v>225500</v>
      </c>
      <c r="H42" s="40">
        <v>247500</v>
      </c>
      <c r="I42" s="40">
        <v>242000</v>
      </c>
      <c r="J42" s="40">
        <v>220000</v>
      </c>
      <c r="K42" s="40">
        <v>214500</v>
      </c>
      <c r="L42" s="40">
        <v>231000</v>
      </c>
      <c r="M42" s="40">
        <v>214500</v>
      </c>
      <c r="N42" s="548">
        <v>187000</v>
      </c>
      <c r="O42" s="7"/>
      <c r="P42" s="425" t="s">
        <v>36</v>
      </c>
      <c r="Q42" s="426">
        <v>110000</v>
      </c>
      <c r="R42" s="426">
        <v>216000</v>
      </c>
      <c r="S42" s="425" t="s">
        <v>36</v>
      </c>
      <c r="T42" s="426">
        <v>192500</v>
      </c>
      <c r="U42" s="426">
        <v>216000</v>
      </c>
      <c r="W42" s="343" t="s">
        <v>1939</v>
      </c>
      <c r="X42" s="54"/>
      <c r="Y42" s="475">
        <v>81000</v>
      </c>
      <c r="Z42" s="475">
        <v>291000</v>
      </c>
    </row>
    <row r="43" spans="1:26" ht="16.5">
      <c r="B43" s="37" t="s">
        <v>41</v>
      </c>
      <c r="C43" s="19" t="s">
        <v>32</v>
      </c>
      <c r="D43" s="40">
        <v>247500</v>
      </c>
      <c r="E43" s="40">
        <v>198000</v>
      </c>
      <c r="F43" s="39">
        <v>198000</v>
      </c>
      <c r="G43" s="40">
        <v>258500</v>
      </c>
      <c r="H43" s="40">
        <v>253000</v>
      </c>
      <c r="I43" s="40">
        <v>242000</v>
      </c>
      <c r="J43" s="40">
        <v>231000</v>
      </c>
      <c r="K43" s="40">
        <v>220000</v>
      </c>
      <c r="L43" s="40">
        <v>264000</v>
      </c>
      <c r="M43" s="40">
        <v>220000</v>
      </c>
      <c r="N43" s="548">
        <v>187000</v>
      </c>
      <c r="O43" s="7"/>
      <c r="P43" s="425" t="s">
        <v>37</v>
      </c>
      <c r="Q43" s="426">
        <v>110000</v>
      </c>
      <c r="R43" s="426">
        <v>212000</v>
      </c>
      <c r="S43" s="425" t="s">
        <v>37</v>
      </c>
      <c r="T43" s="426">
        <v>192500</v>
      </c>
      <c r="U43" s="426">
        <v>212000</v>
      </c>
      <c r="W43" s="343" t="s">
        <v>1940</v>
      </c>
      <c r="X43" s="54"/>
      <c r="Y43" s="475">
        <v>81000</v>
      </c>
      <c r="Z43" s="475">
        <v>291000</v>
      </c>
    </row>
    <row r="44" spans="1:26" ht="17.25" thickBot="1">
      <c r="B44" s="549" t="s">
        <v>42</v>
      </c>
      <c r="C44" s="550" t="s">
        <v>32</v>
      </c>
      <c r="D44" s="1265">
        <v>385000</v>
      </c>
      <c r="E44" s="1265">
        <v>385000</v>
      </c>
      <c r="F44" s="1265">
        <v>385000</v>
      </c>
      <c r="G44" s="1265">
        <v>385000</v>
      </c>
      <c r="H44" s="1265">
        <v>385000</v>
      </c>
      <c r="I44" s="1265">
        <v>385000</v>
      </c>
      <c r="J44" s="1265">
        <v>385000</v>
      </c>
      <c r="K44" s="1265">
        <v>385000</v>
      </c>
      <c r="L44" s="1265">
        <v>385000</v>
      </c>
      <c r="M44" s="1265">
        <v>385000</v>
      </c>
      <c r="N44" s="1266">
        <v>385000</v>
      </c>
      <c r="O44" s="7"/>
      <c r="P44" s="425" t="s">
        <v>38</v>
      </c>
      <c r="Q44" s="426">
        <v>165000</v>
      </c>
      <c r="R44" s="426">
        <v>225000</v>
      </c>
      <c r="S44" s="425" t="s">
        <v>38</v>
      </c>
      <c r="T44" s="426">
        <v>253000</v>
      </c>
      <c r="U44" s="426">
        <v>225000</v>
      </c>
      <c r="W44" s="476" t="s">
        <v>1982</v>
      </c>
      <c r="X44" s="470"/>
      <c r="Y44" s="475"/>
      <c r="Z44" s="475"/>
    </row>
    <row r="45" spans="1:26" ht="16.5">
      <c r="B45" s="1"/>
      <c r="O45" s="7"/>
      <c r="P45" s="425" t="s">
        <v>39</v>
      </c>
      <c r="Q45" s="426">
        <v>209000</v>
      </c>
      <c r="R45" s="426">
        <v>247000</v>
      </c>
      <c r="S45" s="425" t="s">
        <v>39</v>
      </c>
      <c r="T45" s="426">
        <v>264000</v>
      </c>
      <c r="U45" s="426">
        <v>247000</v>
      </c>
      <c r="W45" s="476" t="s">
        <v>1983</v>
      </c>
      <c r="X45" s="470"/>
      <c r="Y45" s="475">
        <v>81000</v>
      </c>
      <c r="Z45" s="475">
        <v>291000</v>
      </c>
    </row>
    <row r="46" spans="1:26" ht="17.25" thickBot="1">
      <c r="B46" s="42" t="s">
        <v>58</v>
      </c>
      <c r="F46" s="43" t="s">
        <v>43</v>
      </c>
      <c r="O46" s="7"/>
      <c r="P46" s="425" t="s">
        <v>40</v>
      </c>
      <c r="Q46" s="426">
        <v>176000</v>
      </c>
      <c r="R46" s="426">
        <v>225000</v>
      </c>
      <c r="S46" s="425" t="s">
        <v>40</v>
      </c>
      <c r="T46" s="426">
        <v>242000</v>
      </c>
      <c r="U46" s="426">
        <v>225000</v>
      </c>
      <c r="W46" s="476" t="s">
        <v>1984</v>
      </c>
      <c r="X46" s="470"/>
      <c r="Y46" s="475">
        <v>81000</v>
      </c>
      <c r="Z46" s="475">
        <v>291000</v>
      </c>
    </row>
    <row r="47" spans="1:26" ht="16.5">
      <c r="B47" s="44" t="s">
        <v>59</v>
      </c>
      <c r="C47" s="44"/>
      <c r="D47" s="427"/>
      <c r="E47" s="427"/>
      <c r="F47" s="570" t="s">
        <v>44</v>
      </c>
      <c r="G47" s="571" t="s">
        <v>60</v>
      </c>
      <c r="J47" s="427"/>
      <c r="O47" s="7"/>
      <c r="P47" s="425" t="s">
        <v>41</v>
      </c>
      <c r="Q47" s="426">
        <v>220000</v>
      </c>
      <c r="R47" s="426">
        <v>247000</v>
      </c>
      <c r="S47" s="425" t="s">
        <v>41</v>
      </c>
      <c r="T47" s="426">
        <v>253000</v>
      </c>
      <c r="U47" s="426">
        <v>247000</v>
      </c>
      <c r="W47" s="476" t="s">
        <v>1985</v>
      </c>
      <c r="X47" s="470"/>
      <c r="Y47" s="475">
        <v>81000</v>
      </c>
      <c r="Z47" s="475">
        <v>291000</v>
      </c>
    </row>
    <row r="48" spans="1:26" ht="16.5">
      <c r="B48" s="47" t="s">
        <v>15</v>
      </c>
      <c r="C48" s="47">
        <v>1</v>
      </c>
      <c r="D48" s="427"/>
      <c r="E48" s="427"/>
      <c r="F48" s="572" t="s">
        <v>46</v>
      </c>
      <c r="G48" s="573">
        <f ca="1">INDEX(D66:N75,1,VLOOKUP(렌터카견적내기!$AO$8,'현대제조사탁송료(전기차too)'!$B$48:$C$60,2,0))</f>
        <v>132000</v>
      </c>
      <c r="H48" s="427"/>
      <c r="I48" s="427"/>
      <c r="J48" s="427"/>
      <c r="K48" s="427"/>
      <c r="L48" s="427"/>
      <c r="M48" s="427"/>
      <c r="N48" s="427"/>
      <c r="O48" s="7"/>
      <c r="P48" s="425" t="s">
        <v>42</v>
      </c>
      <c r="Q48" s="426">
        <v>330000</v>
      </c>
      <c r="R48" s="426">
        <v>450000</v>
      </c>
      <c r="S48" s="425" t="s">
        <v>42</v>
      </c>
      <c r="T48" s="426">
        <v>385000</v>
      </c>
      <c r="U48" s="426">
        <v>450000</v>
      </c>
      <c r="W48" s="179" t="s">
        <v>1986</v>
      </c>
      <c r="X48" s="470"/>
      <c r="Y48" s="475">
        <v>81000</v>
      </c>
      <c r="Z48" s="475">
        <v>291000</v>
      </c>
    </row>
    <row r="49" spans="2:27" ht="12.75">
      <c r="B49" s="47" t="s">
        <v>16</v>
      </c>
      <c r="C49" s="47">
        <v>2</v>
      </c>
      <c r="D49" s="427"/>
      <c r="E49" s="427"/>
      <c r="F49" s="572" t="s">
        <v>48</v>
      </c>
      <c r="G49" s="573">
        <f ca="1">INDEX(D67:N76,1,VLOOKUP(렌터카견적내기!$AO$8,'현대제조사탁송료(전기차too)'!$B$48:$C$60,2,0))</f>
        <v>198000</v>
      </c>
      <c r="H49" s="427"/>
      <c r="I49" s="427"/>
      <c r="J49" s="427"/>
      <c r="K49" s="427"/>
      <c r="L49" s="427"/>
      <c r="M49" s="427"/>
      <c r="N49" s="427"/>
      <c r="O49" s="7"/>
      <c r="W49" s="343" t="s">
        <v>1987</v>
      </c>
      <c r="X49" s="54"/>
      <c r="Y49" s="475">
        <v>81000</v>
      </c>
      <c r="Z49" s="475">
        <v>291000</v>
      </c>
    </row>
    <row r="50" spans="2:27" ht="12.75">
      <c r="B50" s="47" t="s">
        <v>17</v>
      </c>
      <c r="C50" s="47">
        <v>3</v>
      </c>
      <c r="D50" s="427"/>
      <c r="E50" s="427"/>
      <c r="F50" s="572" t="s">
        <v>49</v>
      </c>
      <c r="G50" s="573">
        <f ca="1">INDEX(D68:N77,1,VLOOKUP(렌터카견적내기!$AO$8,'현대제조사탁송료(전기차too)'!$B$48:$C$60,2,0))</f>
        <v>198000</v>
      </c>
      <c r="H50" s="427"/>
      <c r="I50" s="427"/>
      <c r="J50" s="427"/>
      <c r="K50" s="427"/>
      <c r="L50" s="427"/>
      <c r="M50" s="427"/>
      <c r="N50" s="427"/>
      <c r="O50" s="7"/>
      <c r="W50" s="343" t="s">
        <v>1988</v>
      </c>
      <c r="X50" s="54"/>
      <c r="Y50" s="475">
        <v>81000</v>
      </c>
      <c r="Z50" s="475">
        <v>291000</v>
      </c>
    </row>
    <row r="51" spans="2:27" ht="12.75">
      <c r="B51" s="48" t="s">
        <v>61</v>
      </c>
      <c r="C51" s="48">
        <v>4</v>
      </c>
      <c r="D51" s="427"/>
      <c r="E51" s="427"/>
      <c r="F51" s="572" t="s">
        <v>50</v>
      </c>
      <c r="G51" s="573">
        <f ca="1">INDEX(D69:N78,1,VLOOKUP(렌터카견적내기!$AO$8,'현대제조사탁송료(전기차too)'!$B$48:$C$60,2,0))</f>
        <v>126500</v>
      </c>
      <c r="H51" s="427"/>
      <c r="I51" s="427"/>
      <c r="J51" s="427"/>
      <c r="K51" s="427"/>
      <c r="L51" s="427"/>
      <c r="M51" s="427"/>
      <c r="N51" s="427"/>
      <c r="O51" s="7"/>
      <c r="W51" s="343" t="s">
        <v>1989</v>
      </c>
      <c r="X51" s="54"/>
      <c r="Y51" s="475">
        <v>81000</v>
      </c>
      <c r="Z51" s="475">
        <v>291000</v>
      </c>
    </row>
    <row r="52" spans="2:27" ht="12.75">
      <c r="B52" s="48" t="s">
        <v>62</v>
      </c>
      <c r="C52" s="48">
        <v>5</v>
      </c>
      <c r="D52" s="427"/>
      <c r="E52" s="427"/>
      <c r="F52" s="572" t="s">
        <v>51</v>
      </c>
      <c r="G52" s="573">
        <f ca="1">INDEX(D70:N79,1,VLOOKUP(렌터카견적내기!$AO$8,'현대제조사탁송료(전기차too)'!$B$48:$C$60,2,0))</f>
        <v>126500</v>
      </c>
      <c r="H52" s="427"/>
      <c r="I52" s="427"/>
      <c r="J52" s="427"/>
      <c r="K52" s="427"/>
      <c r="L52" s="427"/>
      <c r="M52" s="427"/>
      <c r="N52" s="427"/>
      <c r="O52" s="7"/>
      <c r="P52" s="1"/>
      <c r="W52" s="343" t="s">
        <v>1990</v>
      </c>
      <c r="X52" s="54"/>
      <c r="Y52" s="475">
        <v>81000</v>
      </c>
      <c r="Z52" s="475">
        <v>291000</v>
      </c>
    </row>
    <row r="53" spans="2:27" ht="12.75">
      <c r="B53" s="48" t="s">
        <v>63</v>
      </c>
      <c r="C53" s="48">
        <v>6</v>
      </c>
      <c r="D53" s="427"/>
      <c r="E53" s="427"/>
      <c r="F53" s="572" t="s">
        <v>52</v>
      </c>
      <c r="G53" s="573">
        <f ca="1">INDEX(D71:N80,1,VLOOKUP(렌터카견적내기!$AO$8,'현대제조사탁송료(전기차too)'!$B$48:$C$60,2,0))</f>
        <v>132000</v>
      </c>
      <c r="H53" s="427"/>
      <c r="I53" s="427"/>
      <c r="J53" s="427"/>
      <c r="K53" s="427"/>
      <c r="L53" s="427"/>
      <c r="M53" s="427"/>
      <c r="N53" s="427"/>
      <c r="O53" s="7"/>
      <c r="P53" s="1"/>
      <c r="W53" s="238" t="s">
        <v>973</v>
      </c>
      <c r="X53" s="470"/>
      <c r="Y53" s="475"/>
      <c r="Z53" s="475"/>
    </row>
    <row r="54" spans="2:27" ht="12.75">
      <c r="B54" s="48" t="s">
        <v>64</v>
      </c>
      <c r="C54" s="48">
        <v>7</v>
      </c>
      <c r="D54" s="427"/>
      <c r="E54" s="427"/>
      <c r="F54" s="572" t="s">
        <v>53</v>
      </c>
      <c r="G54" s="573">
        <f ca="1">INDEX(D72:N81,1,VLOOKUP(렌터카견적내기!$AO$8,'현대제조사탁송료(전기차too)'!$B$48:$C$60,2,0))</f>
        <v>154000</v>
      </c>
      <c r="H54" s="427"/>
      <c r="I54" s="427"/>
      <c r="J54" s="427"/>
      <c r="K54" s="427"/>
      <c r="L54" s="427"/>
      <c r="M54" s="427"/>
      <c r="N54" s="427"/>
      <c r="O54" s="7"/>
      <c r="P54" s="1"/>
      <c r="W54" s="238" t="s">
        <v>1382</v>
      </c>
      <c r="X54" s="470"/>
      <c r="Y54" s="475">
        <v>88000</v>
      </c>
      <c r="Z54" s="475">
        <v>312000</v>
      </c>
    </row>
    <row r="55" spans="2:27" ht="12.75">
      <c r="B55" s="47" t="s">
        <v>65</v>
      </c>
      <c r="C55" s="47">
        <v>8</v>
      </c>
      <c r="D55" s="427"/>
      <c r="E55" s="427"/>
      <c r="F55" s="572" t="s">
        <v>54</v>
      </c>
      <c r="G55" s="573">
        <f ca="1">INDEX(D73:N82,1,VLOOKUP(렌터카견적내기!$AO$8,'현대제조사탁송료(전기차too)'!$B$48:$C$60,2,0))</f>
        <v>110000</v>
      </c>
      <c r="H55" s="427"/>
      <c r="I55" s="427"/>
      <c r="J55" s="427"/>
      <c r="K55" s="427"/>
      <c r="L55" s="427"/>
      <c r="M55" s="427"/>
      <c r="N55" s="427"/>
      <c r="O55" s="7"/>
      <c r="P55" s="1"/>
      <c r="W55" s="238" t="s">
        <v>1383</v>
      </c>
      <c r="X55" s="470"/>
      <c r="Y55" s="475">
        <v>88000</v>
      </c>
      <c r="Z55" s="475">
        <v>312000</v>
      </c>
    </row>
    <row r="56" spans="2:27" ht="12.75">
      <c r="B56" s="48" t="s">
        <v>66</v>
      </c>
      <c r="C56" s="48">
        <v>9</v>
      </c>
      <c r="D56" s="427"/>
      <c r="E56" s="427"/>
      <c r="F56" s="572" t="s">
        <v>55</v>
      </c>
      <c r="G56" s="573">
        <f ca="1">INDEX(D74:N83,1,VLOOKUP(렌터카견적내기!$AO$8,'현대제조사탁송료(전기차too)'!$B$48:$C$60,2,0))</f>
        <v>99000</v>
      </c>
      <c r="H56" s="427"/>
      <c r="I56" s="427"/>
      <c r="J56" s="427"/>
      <c r="K56" s="427"/>
      <c r="L56" s="427"/>
      <c r="M56" s="427"/>
      <c r="N56" s="427"/>
      <c r="O56" s="7"/>
      <c r="P56" s="1"/>
      <c r="W56" s="238" t="s">
        <v>1056</v>
      </c>
      <c r="X56" s="470"/>
      <c r="Y56" s="475">
        <v>88000</v>
      </c>
      <c r="Z56" s="475">
        <v>312000</v>
      </c>
    </row>
    <row r="57" spans="2:27" thickBot="1">
      <c r="B57" s="48" t="s">
        <v>67</v>
      </c>
      <c r="C57" s="48">
        <v>10</v>
      </c>
      <c r="D57" s="427"/>
      <c r="F57" s="574" t="s">
        <v>56</v>
      </c>
      <c r="G57" s="575">
        <f ca="1">INDEX(D75:N84,1,VLOOKUP(렌터카견적내기!$AO$8,'현대제조사탁송료(전기차too)'!$B$48:$C$60,2,0))</f>
        <v>286000</v>
      </c>
      <c r="H57" s="427"/>
      <c r="I57" s="427"/>
      <c r="J57" s="427"/>
      <c r="K57" s="427"/>
      <c r="L57" s="427"/>
      <c r="M57" s="427"/>
      <c r="N57" s="427"/>
      <c r="O57" s="7"/>
      <c r="P57" s="1"/>
      <c r="W57" s="238" t="s">
        <v>1057</v>
      </c>
      <c r="X57" s="470"/>
      <c r="Y57" s="475">
        <v>88000</v>
      </c>
      <c r="Z57" s="475">
        <v>312000</v>
      </c>
    </row>
    <row r="58" spans="2:27" ht="12.75">
      <c r="B58" s="48" t="s">
        <v>68</v>
      </c>
      <c r="C58" s="48">
        <v>11</v>
      </c>
      <c r="D58" s="427"/>
      <c r="O58" s="7"/>
      <c r="P58" s="1"/>
      <c r="W58" s="238" t="s">
        <v>1058</v>
      </c>
      <c r="X58" s="470"/>
      <c r="Y58" s="475">
        <v>88000</v>
      </c>
      <c r="Z58" s="475">
        <v>312000</v>
      </c>
    </row>
    <row r="59" spans="2:27" ht="12.75">
      <c r="B59" s="48" t="s">
        <v>69</v>
      </c>
      <c r="C59" s="48">
        <v>12</v>
      </c>
      <c r="O59" s="7"/>
      <c r="P59" s="1"/>
      <c r="W59" s="238" t="s">
        <v>1059</v>
      </c>
      <c r="X59" s="179"/>
      <c r="Y59" s="475">
        <v>88000</v>
      </c>
      <c r="Z59" s="475">
        <v>312000</v>
      </c>
    </row>
    <row r="60" spans="2:27" ht="12.75">
      <c r="O60" s="7"/>
      <c r="P60" s="1"/>
      <c r="W60" s="238" t="s">
        <v>1060</v>
      </c>
      <c r="X60" s="179"/>
      <c r="Y60" s="475">
        <v>88000</v>
      </c>
      <c r="Z60" s="475">
        <v>312000</v>
      </c>
    </row>
    <row r="61" spans="2:27" ht="12.75">
      <c r="O61" s="543"/>
      <c r="P61" s="1"/>
      <c r="W61" s="238" t="s">
        <v>1061</v>
      </c>
      <c r="X61" s="179"/>
      <c r="Y61" s="475">
        <v>88000</v>
      </c>
      <c r="Z61" s="475">
        <v>312000</v>
      </c>
    </row>
    <row r="62" spans="2:27" thickBot="1">
      <c r="B62" t="s">
        <v>1532</v>
      </c>
      <c r="C62" s="31"/>
      <c r="D62" s="32"/>
      <c r="O62" s="543"/>
      <c r="P62" s="1"/>
      <c r="W62" s="238" t="s">
        <v>1379</v>
      </c>
      <c r="X62" s="179"/>
      <c r="Y62" s="475">
        <v>88000</v>
      </c>
      <c r="Z62" s="475">
        <v>312000</v>
      </c>
    </row>
    <row r="63" spans="2:27" ht="12.75">
      <c r="B63" s="1272" t="s">
        <v>7</v>
      </c>
      <c r="C63" s="1276" t="s">
        <v>8</v>
      </c>
      <c r="D63" s="1273" t="s">
        <v>9</v>
      </c>
      <c r="E63" s="1273"/>
      <c r="F63" s="1273"/>
      <c r="G63" s="1273" t="s">
        <v>10</v>
      </c>
      <c r="H63" s="1273"/>
      <c r="I63" s="1273"/>
      <c r="J63" s="1273"/>
      <c r="K63" s="1273" t="s">
        <v>11</v>
      </c>
      <c r="L63" s="1273" t="s">
        <v>12</v>
      </c>
      <c r="M63" s="1273"/>
      <c r="N63" s="1274" t="s">
        <v>13</v>
      </c>
      <c r="O63" s="543"/>
      <c r="P63" s="1"/>
      <c r="W63" s="238" t="s">
        <v>1380</v>
      </c>
      <c r="X63" s="179"/>
      <c r="Y63" s="475">
        <v>88000</v>
      </c>
      <c r="Z63" s="475">
        <v>312000</v>
      </c>
    </row>
    <row r="64" spans="2:27" ht="12.75">
      <c r="B64" s="49" t="s">
        <v>14</v>
      </c>
      <c r="C64" s="1248"/>
      <c r="D64" s="1250" t="s">
        <v>70</v>
      </c>
      <c r="E64" s="1251" t="s">
        <v>71</v>
      </c>
      <c r="F64" s="1252"/>
      <c r="G64" s="1250" t="s">
        <v>72</v>
      </c>
      <c r="H64" s="1250" t="s">
        <v>73</v>
      </c>
      <c r="I64" s="1250" t="s">
        <v>74</v>
      </c>
      <c r="J64" s="1250" t="s">
        <v>75</v>
      </c>
      <c r="K64" s="1250" t="s">
        <v>76</v>
      </c>
      <c r="L64" s="1250" t="s">
        <v>77</v>
      </c>
      <c r="M64" s="1250" t="s">
        <v>78</v>
      </c>
      <c r="N64" s="1275" t="s">
        <v>79</v>
      </c>
      <c r="O64" s="543"/>
      <c r="P64" s="1"/>
      <c r="W64" s="238" t="s">
        <v>1064</v>
      </c>
      <c r="X64" s="179"/>
      <c r="Y64" s="475">
        <v>88000</v>
      </c>
      <c r="Z64" s="475">
        <v>312000</v>
      </c>
      <c r="AA64"/>
    </row>
    <row r="65" spans="2:27" ht="33.75">
      <c r="B65" s="49" t="s">
        <v>27</v>
      </c>
      <c r="C65" s="1249"/>
      <c r="D65" s="17" t="s">
        <v>28</v>
      </c>
      <c r="E65" s="17" t="s">
        <v>89</v>
      </c>
      <c r="F65" s="17" t="s">
        <v>1162</v>
      </c>
      <c r="G65" s="17" t="s">
        <v>29</v>
      </c>
      <c r="H65" s="17" t="s">
        <v>1163</v>
      </c>
      <c r="I65" s="17" t="s">
        <v>1168</v>
      </c>
      <c r="J65" s="17" t="s">
        <v>1164</v>
      </c>
      <c r="K65" s="17" t="s">
        <v>1165</v>
      </c>
      <c r="L65" s="17" t="s">
        <v>88</v>
      </c>
      <c r="M65" s="17" t="s">
        <v>1166</v>
      </c>
      <c r="N65" s="559" t="s">
        <v>1167</v>
      </c>
      <c r="O65" s="543"/>
      <c r="W65" s="238" t="s">
        <v>1065</v>
      </c>
      <c r="X65" s="179"/>
      <c r="Y65" s="475">
        <v>88000</v>
      </c>
      <c r="Z65" s="475">
        <v>312000</v>
      </c>
      <c r="AA65"/>
    </row>
    <row r="66" spans="2:27" ht="12.75">
      <c r="B66" s="1277" t="s">
        <v>80</v>
      </c>
      <c r="C66" s="1278" t="s">
        <v>81</v>
      </c>
      <c r="D66" s="1283">
        <v>93500</v>
      </c>
      <c r="E66" s="1283">
        <v>132000</v>
      </c>
      <c r="F66" s="1283">
        <v>132000</v>
      </c>
      <c r="G66" s="1283">
        <v>88000</v>
      </c>
      <c r="H66" s="1283">
        <v>93500</v>
      </c>
      <c r="I66" s="1283">
        <v>99000</v>
      </c>
      <c r="J66" s="1283">
        <v>110000</v>
      </c>
      <c r="K66" s="1283">
        <v>143000</v>
      </c>
      <c r="L66" s="1283">
        <v>93500</v>
      </c>
      <c r="M66" s="1283">
        <v>132000</v>
      </c>
      <c r="N66" s="1284">
        <v>55000</v>
      </c>
      <c r="O66" s="543"/>
      <c r="W66" s="238" t="s">
        <v>1062</v>
      </c>
      <c r="X66" s="179"/>
      <c r="Y66" s="475">
        <v>88000</v>
      </c>
      <c r="Z66" s="475">
        <v>312000</v>
      </c>
      <c r="AA66"/>
    </row>
    <row r="67" spans="2:27" ht="12.75">
      <c r="B67" s="1277" t="s">
        <v>48</v>
      </c>
      <c r="C67" s="1278" t="s">
        <v>81</v>
      </c>
      <c r="D67" s="1283">
        <v>203500</v>
      </c>
      <c r="E67" s="1283">
        <v>198000</v>
      </c>
      <c r="F67" s="1283">
        <v>198000</v>
      </c>
      <c r="G67" s="1283">
        <v>192500</v>
      </c>
      <c r="H67" s="1283">
        <v>154000</v>
      </c>
      <c r="I67" s="1283">
        <v>154000</v>
      </c>
      <c r="J67" s="1283">
        <v>214500</v>
      </c>
      <c r="K67" s="1283">
        <v>220000</v>
      </c>
      <c r="L67" s="1283">
        <v>198000</v>
      </c>
      <c r="M67" s="1283">
        <v>220000</v>
      </c>
      <c r="N67" s="1284">
        <v>187000</v>
      </c>
      <c r="O67" s="543"/>
      <c r="W67" s="238" t="s">
        <v>1063</v>
      </c>
      <c r="X67" s="179"/>
      <c r="Y67" s="475">
        <v>88000</v>
      </c>
      <c r="Z67" s="475">
        <v>312000</v>
      </c>
      <c r="AA67"/>
    </row>
    <row r="68" spans="2:27" ht="12.75">
      <c r="B68" s="1277" t="s">
        <v>49</v>
      </c>
      <c r="C68" s="1278" t="s">
        <v>81</v>
      </c>
      <c r="D68" s="1283">
        <v>154000</v>
      </c>
      <c r="E68" s="1283">
        <v>198000</v>
      </c>
      <c r="F68" s="1283">
        <v>198000</v>
      </c>
      <c r="G68" s="1283">
        <v>148500</v>
      </c>
      <c r="H68" s="1283">
        <v>99000</v>
      </c>
      <c r="I68" s="1283">
        <v>99000</v>
      </c>
      <c r="J68" s="1283">
        <v>165000</v>
      </c>
      <c r="K68" s="1283">
        <v>198000</v>
      </c>
      <c r="L68" s="1283">
        <v>143000</v>
      </c>
      <c r="M68" s="1283">
        <v>187000</v>
      </c>
      <c r="N68" s="1284">
        <v>132000</v>
      </c>
      <c r="O68" s="543"/>
      <c r="W68" s="238" t="s">
        <v>1276</v>
      </c>
      <c r="X68" s="179"/>
      <c r="Y68" s="475">
        <v>88000</v>
      </c>
      <c r="Z68" s="475">
        <v>312000</v>
      </c>
      <c r="AA68"/>
    </row>
    <row r="69" spans="2:27" s="165" customFormat="1" ht="12.75">
      <c r="B69" s="1277" t="s">
        <v>50</v>
      </c>
      <c r="C69" s="1278" t="s">
        <v>81</v>
      </c>
      <c r="D69" s="1283">
        <v>104500</v>
      </c>
      <c r="E69" s="1283">
        <v>126500</v>
      </c>
      <c r="F69" s="1283">
        <v>126500</v>
      </c>
      <c r="G69" s="1283">
        <v>99000</v>
      </c>
      <c r="H69" s="1283">
        <v>104500</v>
      </c>
      <c r="I69" s="1283">
        <v>110000</v>
      </c>
      <c r="J69" s="1283">
        <v>104500</v>
      </c>
      <c r="K69" s="1283">
        <v>110000</v>
      </c>
      <c r="L69" s="1283">
        <v>110000</v>
      </c>
      <c r="M69" s="1283">
        <v>126500</v>
      </c>
      <c r="N69" s="1284">
        <v>66000</v>
      </c>
      <c r="O69" s="543"/>
      <c r="S69"/>
      <c r="T69"/>
      <c r="U69"/>
      <c r="W69" s="238" t="s">
        <v>1277</v>
      </c>
      <c r="X69" s="179"/>
      <c r="Y69" s="475">
        <v>88000</v>
      </c>
      <c r="Z69" s="475">
        <v>312000</v>
      </c>
    </row>
    <row r="70" spans="2:27" ht="12.75">
      <c r="B70" s="1277" t="s">
        <v>51</v>
      </c>
      <c r="C70" s="1278" t="s">
        <v>81</v>
      </c>
      <c r="D70" s="1283">
        <v>104500</v>
      </c>
      <c r="E70" s="1283">
        <v>126500</v>
      </c>
      <c r="F70" s="1283">
        <v>126500</v>
      </c>
      <c r="G70" s="1283">
        <v>99000</v>
      </c>
      <c r="H70" s="1283">
        <v>165000</v>
      </c>
      <c r="I70" s="1283">
        <v>165000</v>
      </c>
      <c r="J70" s="1283">
        <v>93500</v>
      </c>
      <c r="K70" s="1283">
        <v>99000</v>
      </c>
      <c r="L70" s="1283">
        <v>93500</v>
      </c>
      <c r="M70" s="1283">
        <v>99000</v>
      </c>
      <c r="N70" s="1284">
        <v>66000</v>
      </c>
      <c r="O70" s="543"/>
      <c r="W70" s="479" t="s">
        <v>1066</v>
      </c>
      <c r="X70" s="54"/>
      <c r="Y70" s="475">
        <v>88000</v>
      </c>
      <c r="Z70" s="475">
        <v>312000</v>
      </c>
      <c r="AA70"/>
    </row>
    <row r="71" spans="2:27" ht="12.75">
      <c r="B71" s="1277" t="s">
        <v>52</v>
      </c>
      <c r="C71" s="1278" t="s">
        <v>81</v>
      </c>
      <c r="D71" s="1283">
        <v>165000</v>
      </c>
      <c r="E71" s="1283">
        <v>132000</v>
      </c>
      <c r="F71" s="1283">
        <v>132000</v>
      </c>
      <c r="G71" s="1283">
        <v>154000</v>
      </c>
      <c r="H71" s="1283">
        <v>214500</v>
      </c>
      <c r="I71" s="1283">
        <v>220000</v>
      </c>
      <c r="J71" s="1283">
        <v>88000</v>
      </c>
      <c r="K71" s="1283">
        <v>115500</v>
      </c>
      <c r="L71" s="1283">
        <v>154000</v>
      </c>
      <c r="M71" s="1283">
        <v>115500</v>
      </c>
      <c r="N71" s="1284">
        <v>132000</v>
      </c>
      <c r="O71" s="543"/>
      <c r="W71" s="479" t="s">
        <v>1067</v>
      </c>
      <c r="X71" s="54"/>
      <c r="Y71" s="475">
        <v>88000</v>
      </c>
      <c r="Z71" s="475">
        <v>312000</v>
      </c>
      <c r="AA71"/>
    </row>
    <row r="72" spans="2:27" ht="12.75">
      <c r="B72" s="1277" t="s">
        <v>53</v>
      </c>
      <c r="C72" s="1278" t="s">
        <v>81</v>
      </c>
      <c r="D72" s="1283">
        <v>225500</v>
      </c>
      <c r="E72" s="1283">
        <v>154000</v>
      </c>
      <c r="F72" s="1283">
        <v>154000</v>
      </c>
      <c r="G72" s="1283">
        <v>209000</v>
      </c>
      <c r="H72" s="1283">
        <v>192500</v>
      </c>
      <c r="I72" s="1283">
        <v>198000</v>
      </c>
      <c r="J72" s="1283">
        <v>66000</v>
      </c>
      <c r="K72" s="1283">
        <v>148500</v>
      </c>
      <c r="L72" s="1283">
        <v>214500</v>
      </c>
      <c r="M72" s="1283">
        <v>148500</v>
      </c>
      <c r="N72" s="1284">
        <v>187000</v>
      </c>
      <c r="O72" s="543"/>
      <c r="W72" s="238" t="s">
        <v>975</v>
      </c>
      <c r="X72" s="470"/>
      <c r="Y72" s="475"/>
      <c r="Z72" s="475"/>
      <c r="AA72"/>
    </row>
    <row r="73" spans="2:27" s="165" customFormat="1" ht="12.75">
      <c r="B73" s="1277" t="s">
        <v>54</v>
      </c>
      <c r="C73" s="1278" t="s">
        <v>81</v>
      </c>
      <c r="D73" s="1283">
        <v>187000</v>
      </c>
      <c r="E73" s="1283">
        <v>110000</v>
      </c>
      <c r="F73" s="1283">
        <v>110000</v>
      </c>
      <c r="G73" s="1283">
        <v>181500</v>
      </c>
      <c r="H73" s="1283">
        <v>214500</v>
      </c>
      <c r="I73" s="1283">
        <v>220000</v>
      </c>
      <c r="J73" s="1283">
        <v>121000</v>
      </c>
      <c r="K73" s="1283">
        <v>104500</v>
      </c>
      <c r="L73" s="1283">
        <v>187000</v>
      </c>
      <c r="M73" s="1283">
        <v>104500</v>
      </c>
      <c r="N73" s="1284">
        <v>165000</v>
      </c>
      <c r="O73" s="543"/>
      <c r="S73"/>
      <c r="T73"/>
      <c r="U73"/>
      <c r="W73" s="238" t="s">
        <v>1068</v>
      </c>
      <c r="X73" s="470"/>
      <c r="Y73" s="475">
        <v>75000</v>
      </c>
      <c r="Z73" s="475">
        <v>299000</v>
      </c>
    </row>
    <row r="74" spans="2:27" ht="12.75">
      <c r="B74" s="1277" t="s">
        <v>55</v>
      </c>
      <c r="C74" s="1278" t="s">
        <v>81</v>
      </c>
      <c r="D74" s="1283">
        <v>225500</v>
      </c>
      <c r="E74" s="1283">
        <v>99000</v>
      </c>
      <c r="F74" s="1283">
        <v>99000</v>
      </c>
      <c r="G74" s="1283">
        <v>214500</v>
      </c>
      <c r="H74" s="1283">
        <v>220000</v>
      </c>
      <c r="I74" s="1283">
        <v>220000</v>
      </c>
      <c r="J74" s="1283">
        <v>132000</v>
      </c>
      <c r="K74" s="1283">
        <v>110000</v>
      </c>
      <c r="L74" s="1283">
        <v>220000</v>
      </c>
      <c r="M74" s="1283">
        <v>110000</v>
      </c>
      <c r="N74" s="1284">
        <v>165000</v>
      </c>
      <c r="O74" s="543"/>
      <c r="W74" s="238" t="s">
        <v>976</v>
      </c>
      <c r="X74" s="470"/>
      <c r="Y74" s="475"/>
      <c r="Z74" s="475"/>
      <c r="AA74"/>
    </row>
    <row r="75" spans="2:27" thickBot="1">
      <c r="B75" s="1279" t="s">
        <v>56</v>
      </c>
      <c r="C75" s="1280" t="s">
        <v>81</v>
      </c>
      <c r="D75" s="1281">
        <v>363000</v>
      </c>
      <c r="E75" s="1281">
        <v>286000</v>
      </c>
      <c r="F75" s="1281">
        <v>286000</v>
      </c>
      <c r="G75" s="1281">
        <v>341000</v>
      </c>
      <c r="H75" s="1281">
        <v>352000</v>
      </c>
      <c r="I75" s="1281">
        <v>363000</v>
      </c>
      <c r="J75" s="1281">
        <v>286000</v>
      </c>
      <c r="K75" s="1281">
        <v>275000</v>
      </c>
      <c r="L75" s="1281">
        <v>341000</v>
      </c>
      <c r="M75" s="1281">
        <v>275000</v>
      </c>
      <c r="N75" s="1282">
        <v>363000</v>
      </c>
      <c r="O75" s="543"/>
      <c r="W75" s="238" t="s">
        <v>1428</v>
      </c>
      <c r="X75" s="5"/>
      <c r="Y75" s="475">
        <v>77000</v>
      </c>
      <c r="Z75" s="475">
        <v>301000</v>
      </c>
      <c r="AA75"/>
    </row>
    <row r="76" spans="2:27" thickBot="1">
      <c r="B76" s="5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2"/>
      <c r="W76" s="238" t="s">
        <v>1429</v>
      </c>
      <c r="X76" s="5"/>
      <c r="Y76" s="475">
        <v>77000</v>
      </c>
      <c r="Z76" s="475">
        <v>301000</v>
      </c>
      <c r="AA76"/>
    </row>
    <row r="77" spans="2:27" thickBot="1">
      <c r="B77" t="s">
        <v>1531</v>
      </c>
      <c r="O77" s="7"/>
      <c r="P77" s="1"/>
      <c r="W77" s="238" t="s">
        <v>1070</v>
      </c>
      <c r="X77" s="5"/>
      <c r="Y77" s="475">
        <v>77000</v>
      </c>
      <c r="Z77" s="475">
        <v>301000</v>
      </c>
      <c r="AA77"/>
    </row>
    <row r="78" spans="2:27" ht="12.75">
      <c r="B78" s="544" t="s">
        <v>7</v>
      </c>
      <c r="C78" s="545" t="s">
        <v>8</v>
      </c>
      <c r="D78" s="545" t="s">
        <v>9</v>
      </c>
      <c r="E78" s="545"/>
      <c r="F78" s="545"/>
      <c r="G78" s="545" t="s">
        <v>10</v>
      </c>
      <c r="H78" s="545"/>
      <c r="I78" s="545"/>
      <c r="J78" s="545"/>
      <c r="K78" s="545" t="s">
        <v>11</v>
      </c>
      <c r="L78" s="545" t="s">
        <v>12</v>
      </c>
      <c r="M78" s="545"/>
      <c r="N78" s="546" t="s">
        <v>13</v>
      </c>
      <c r="O78" s="7"/>
      <c r="W78" s="238" t="s">
        <v>977</v>
      </c>
      <c r="X78" s="470"/>
      <c r="Y78" s="475"/>
      <c r="Z78" s="475"/>
      <c r="AA78"/>
    </row>
    <row r="79" spans="2:27" ht="12.75">
      <c r="B79" s="541" t="s">
        <v>14</v>
      </c>
      <c r="C79" s="35"/>
      <c r="D79" s="36" t="s">
        <v>82</v>
      </c>
      <c r="E79" s="36" t="s">
        <v>83</v>
      </c>
      <c r="F79" s="36" t="s">
        <v>84</v>
      </c>
      <c r="G79" s="540" t="s">
        <v>72</v>
      </c>
      <c r="H79" s="540" t="s">
        <v>73</v>
      </c>
      <c r="I79" s="540" t="s">
        <v>74</v>
      </c>
      <c r="J79" s="540" t="s">
        <v>75</v>
      </c>
      <c r="K79" s="540" t="s">
        <v>76</v>
      </c>
      <c r="L79" s="540" t="s">
        <v>77</v>
      </c>
      <c r="M79" s="540" t="s">
        <v>78</v>
      </c>
      <c r="N79" s="547" t="s">
        <v>79</v>
      </c>
      <c r="O79" s="7"/>
      <c r="W79" s="238" t="s">
        <v>1071</v>
      </c>
      <c r="X79" s="470"/>
      <c r="Y79" s="475">
        <v>116000</v>
      </c>
      <c r="Z79" s="475">
        <v>116000</v>
      </c>
      <c r="AA79"/>
    </row>
    <row r="80" spans="2:27" ht="33.75">
      <c r="B80" s="541" t="s">
        <v>85</v>
      </c>
      <c r="C80" s="35"/>
      <c r="D80" s="17" t="s">
        <v>28</v>
      </c>
      <c r="E80" s="17" t="s">
        <v>89</v>
      </c>
      <c r="F80" s="17" t="s">
        <v>1162</v>
      </c>
      <c r="G80" s="17" t="s">
        <v>29</v>
      </c>
      <c r="H80" s="17" t="s">
        <v>1163</v>
      </c>
      <c r="I80" s="17" t="s">
        <v>1168</v>
      </c>
      <c r="J80" s="17" t="s">
        <v>1164</v>
      </c>
      <c r="K80" s="17" t="s">
        <v>1165</v>
      </c>
      <c r="L80" s="17" t="s">
        <v>88</v>
      </c>
      <c r="M80" s="17" t="s">
        <v>1166</v>
      </c>
      <c r="N80" s="559" t="s">
        <v>1167</v>
      </c>
      <c r="O80" s="7"/>
      <c r="W80" s="238" t="s">
        <v>1373</v>
      </c>
      <c r="X80" s="470"/>
      <c r="Y80" s="475">
        <v>116000</v>
      </c>
      <c r="Z80" s="475">
        <v>116000</v>
      </c>
      <c r="AA80"/>
    </row>
    <row r="81" spans="2:27" ht="12.75">
      <c r="B81" s="37" t="s">
        <v>31</v>
      </c>
      <c r="C81" s="19" t="s">
        <v>32</v>
      </c>
      <c r="D81" s="38">
        <v>101000</v>
      </c>
      <c r="E81" s="38">
        <v>217000</v>
      </c>
      <c r="F81" s="39">
        <v>217000</v>
      </c>
      <c r="G81" s="38">
        <v>111000</v>
      </c>
      <c r="H81" s="38">
        <v>111000</v>
      </c>
      <c r="I81" s="38">
        <v>99000</v>
      </c>
      <c r="J81" s="38">
        <v>190000</v>
      </c>
      <c r="K81" s="40">
        <v>229000</v>
      </c>
      <c r="L81" s="40">
        <v>118000</v>
      </c>
      <c r="M81" s="40">
        <v>217000</v>
      </c>
      <c r="N81" s="548">
        <v>89000</v>
      </c>
      <c r="O81" s="7"/>
      <c r="Q81" s="60"/>
      <c r="W81" s="478" t="s">
        <v>958</v>
      </c>
      <c r="X81" s="30"/>
      <c r="Y81" s="475"/>
      <c r="Z81" s="475"/>
      <c r="AA81"/>
    </row>
    <row r="82" spans="2:27" ht="12.75">
      <c r="B82" s="37" t="s">
        <v>34</v>
      </c>
      <c r="C82" s="19" t="s">
        <v>32</v>
      </c>
      <c r="D82" s="40">
        <v>208000</v>
      </c>
      <c r="E82" s="40">
        <v>309000</v>
      </c>
      <c r="F82" s="39">
        <v>309000</v>
      </c>
      <c r="G82" s="40">
        <v>218000</v>
      </c>
      <c r="H82" s="40">
        <v>163000</v>
      </c>
      <c r="I82" s="40">
        <v>151000</v>
      </c>
      <c r="J82" s="40">
        <v>296000</v>
      </c>
      <c r="K82" s="40">
        <v>321000</v>
      </c>
      <c r="L82" s="40">
        <v>230000</v>
      </c>
      <c r="M82" s="40">
        <v>309000</v>
      </c>
      <c r="N82" s="548">
        <v>195000</v>
      </c>
      <c r="O82" s="7"/>
      <c r="W82" s="478" t="s">
        <v>1136</v>
      </c>
      <c r="X82" s="30"/>
      <c r="Y82" s="475">
        <v>80000</v>
      </c>
      <c r="Z82" s="475">
        <v>317000</v>
      </c>
      <c r="AA82"/>
    </row>
    <row r="83" spans="2:27" ht="12.75">
      <c r="B83" s="37" t="s">
        <v>35</v>
      </c>
      <c r="C83" s="19" t="s">
        <v>32</v>
      </c>
      <c r="D83" s="40">
        <v>153000</v>
      </c>
      <c r="E83" s="40">
        <v>285000</v>
      </c>
      <c r="F83" s="39">
        <v>285000</v>
      </c>
      <c r="G83" s="40">
        <v>163000</v>
      </c>
      <c r="H83" s="40">
        <v>111000</v>
      </c>
      <c r="I83" s="40">
        <v>99000</v>
      </c>
      <c r="J83" s="40">
        <v>241000</v>
      </c>
      <c r="K83" s="40">
        <v>285000</v>
      </c>
      <c r="L83" s="40">
        <v>175000</v>
      </c>
      <c r="M83" s="40">
        <v>273000</v>
      </c>
      <c r="N83" s="548">
        <v>140000</v>
      </c>
      <c r="O83" s="7"/>
      <c r="W83" s="478" t="s">
        <v>1072</v>
      </c>
      <c r="X83" s="30"/>
      <c r="Y83" s="475">
        <v>80000</v>
      </c>
      <c r="Z83" s="475">
        <v>317000</v>
      </c>
      <c r="AA83"/>
    </row>
    <row r="84" spans="2:27" ht="12.75">
      <c r="B84" s="37" t="s">
        <v>36</v>
      </c>
      <c r="C84" s="19" t="s">
        <v>32</v>
      </c>
      <c r="D84" s="40">
        <v>110000</v>
      </c>
      <c r="E84" s="40">
        <v>200000</v>
      </c>
      <c r="F84" s="39">
        <v>200000</v>
      </c>
      <c r="G84" s="40">
        <v>120000</v>
      </c>
      <c r="H84" s="40">
        <v>115000</v>
      </c>
      <c r="I84" s="40">
        <v>103000</v>
      </c>
      <c r="J84" s="40">
        <v>176000</v>
      </c>
      <c r="K84" s="40">
        <v>200000</v>
      </c>
      <c r="L84" s="40">
        <v>132000</v>
      </c>
      <c r="M84" s="40">
        <v>212000</v>
      </c>
      <c r="N84" s="548">
        <v>97000</v>
      </c>
      <c r="O84" s="7"/>
      <c r="W84" s="478" t="s">
        <v>1143</v>
      </c>
      <c r="X84" s="30"/>
      <c r="Y84" s="475">
        <v>80000</v>
      </c>
      <c r="Z84" s="475">
        <v>317000</v>
      </c>
      <c r="AA84"/>
    </row>
    <row r="85" spans="2:27" ht="12.75">
      <c r="B85" s="37" t="s">
        <v>37</v>
      </c>
      <c r="C85" s="19" t="s">
        <v>32</v>
      </c>
      <c r="D85" s="40">
        <v>105000</v>
      </c>
      <c r="E85" s="40">
        <v>212000</v>
      </c>
      <c r="F85" s="39">
        <v>212000</v>
      </c>
      <c r="G85" s="40">
        <v>115000</v>
      </c>
      <c r="H85" s="40">
        <v>176000</v>
      </c>
      <c r="I85" s="40">
        <v>164000</v>
      </c>
      <c r="J85" s="40">
        <v>164000</v>
      </c>
      <c r="K85" s="40">
        <v>188000</v>
      </c>
      <c r="L85" s="40">
        <v>127000</v>
      </c>
      <c r="M85" s="40">
        <v>200000</v>
      </c>
      <c r="N85" s="548">
        <v>93000</v>
      </c>
      <c r="O85" s="7"/>
      <c r="W85" s="478" t="s">
        <v>963</v>
      </c>
      <c r="X85" s="30"/>
      <c r="Y85" s="475"/>
      <c r="Z85" s="475"/>
      <c r="AA85"/>
    </row>
    <row r="86" spans="2:27" ht="12.75">
      <c r="B86" s="37" t="s">
        <v>38</v>
      </c>
      <c r="C86" s="19" t="s">
        <v>32</v>
      </c>
      <c r="D86" s="40">
        <v>165000</v>
      </c>
      <c r="E86" s="40">
        <v>212000</v>
      </c>
      <c r="F86" s="39">
        <v>212000</v>
      </c>
      <c r="G86" s="40">
        <v>175000</v>
      </c>
      <c r="H86" s="40">
        <v>224000</v>
      </c>
      <c r="I86" s="40">
        <v>224000</v>
      </c>
      <c r="J86" s="40">
        <v>152000</v>
      </c>
      <c r="K86" s="40">
        <v>212000</v>
      </c>
      <c r="L86" s="40">
        <v>187000</v>
      </c>
      <c r="M86" s="40">
        <v>212000</v>
      </c>
      <c r="N86" s="548">
        <v>153000</v>
      </c>
      <c r="O86" s="7"/>
      <c r="W86" s="478" t="s">
        <v>1126</v>
      </c>
      <c r="X86" s="30"/>
      <c r="Y86" s="475">
        <v>80000</v>
      </c>
      <c r="Z86" s="475">
        <v>329000</v>
      </c>
      <c r="AA86"/>
    </row>
    <row r="87" spans="2:27" ht="12.75">
      <c r="B87" s="37" t="s">
        <v>39</v>
      </c>
      <c r="C87" s="19" t="s">
        <v>32</v>
      </c>
      <c r="D87" s="40">
        <v>225000</v>
      </c>
      <c r="E87" s="40">
        <v>236000</v>
      </c>
      <c r="F87" s="39">
        <v>236000</v>
      </c>
      <c r="G87" s="40">
        <v>235000</v>
      </c>
      <c r="H87" s="40">
        <v>203000</v>
      </c>
      <c r="I87" s="40">
        <v>191000</v>
      </c>
      <c r="J87" s="40">
        <v>141000</v>
      </c>
      <c r="K87" s="40">
        <v>236000</v>
      </c>
      <c r="L87" s="40">
        <v>247000</v>
      </c>
      <c r="M87" s="40">
        <v>236000</v>
      </c>
      <c r="N87" s="548">
        <v>213000</v>
      </c>
      <c r="O87" s="7"/>
      <c r="W87" s="478" t="s">
        <v>1127</v>
      </c>
      <c r="X87" s="5"/>
      <c r="Y87" s="475">
        <v>80000</v>
      </c>
      <c r="Z87" s="475">
        <v>329000</v>
      </c>
      <c r="AA87"/>
    </row>
    <row r="88" spans="2:27" ht="12.75">
      <c r="B88" s="37" t="s">
        <v>40</v>
      </c>
      <c r="C88" s="19" t="s">
        <v>32</v>
      </c>
      <c r="D88" s="40">
        <v>193000</v>
      </c>
      <c r="E88" s="40">
        <v>188000</v>
      </c>
      <c r="F88" s="39">
        <v>188000</v>
      </c>
      <c r="G88" s="40">
        <v>203000</v>
      </c>
      <c r="H88" s="40">
        <v>224000</v>
      </c>
      <c r="I88" s="40">
        <v>224000</v>
      </c>
      <c r="J88" s="40">
        <v>200000</v>
      </c>
      <c r="K88" s="40">
        <v>188000</v>
      </c>
      <c r="L88" s="40">
        <v>215000</v>
      </c>
      <c r="M88" s="40">
        <v>188000</v>
      </c>
      <c r="N88" s="548">
        <v>181000</v>
      </c>
      <c r="O88" s="7"/>
      <c r="W88" s="478" t="s">
        <v>1128</v>
      </c>
      <c r="X88" s="54"/>
      <c r="Y88" s="475">
        <v>80000</v>
      </c>
      <c r="Z88" s="475">
        <v>329000</v>
      </c>
      <c r="AA88"/>
    </row>
    <row r="89" spans="2:27" ht="12.75">
      <c r="B89" s="37" t="s">
        <v>41</v>
      </c>
      <c r="C89" s="19" t="s">
        <v>32</v>
      </c>
      <c r="D89" s="40">
        <v>226000</v>
      </c>
      <c r="E89" s="40">
        <v>176000</v>
      </c>
      <c r="F89" s="39">
        <v>176000</v>
      </c>
      <c r="G89" s="40">
        <v>241000</v>
      </c>
      <c r="H89" s="40">
        <v>236000</v>
      </c>
      <c r="I89" s="40">
        <v>229000</v>
      </c>
      <c r="J89" s="40">
        <v>210000</v>
      </c>
      <c r="K89" s="40">
        <v>151000</v>
      </c>
      <c r="L89" s="40">
        <v>248000</v>
      </c>
      <c r="M89" s="40">
        <v>147000</v>
      </c>
      <c r="N89" s="548">
        <v>219000</v>
      </c>
      <c r="O89" s="7"/>
      <c r="W89" s="478" t="s">
        <v>1129</v>
      </c>
      <c r="X89" s="54"/>
      <c r="Y89" s="475">
        <v>80000</v>
      </c>
      <c r="Z89" s="475">
        <v>329000</v>
      </c>
      <c r="AA89"/>
    </row>
    <row r="90" spans="2:27" thickBot="1">
      <c r="B90" s="549" t="s">
        <v>42</v>
      </c>
      <c r="C90" s="550" t="s">
        <v>32</v>
      </c>
      <c r="D90" s="1265">
        <v>450000</v>
      </c>
      <c r="E90" s="1265">
        <v>450000</v>
      </c>
      <c r="F90" s="1265">
        <v>450000</v>
      </c>
      <c r="G90" s="1265">
        <v>450000</v>
      </c>
      <c r="H90" s="1265">
        <v>450000</v>
      </c>
      <c r="I90" s="1265">
        <v>450000</v>
      </c>
      <c r="J90" s="1265">
        <v>450000</v>
      </c>
      <c r="K90" s="1265">
        <v>450000</v>
      </c>
      <c r="L90" s="1265">
        <v>450000</v>
      </c>
      <c r="M90" s="1265">
        <v>450000</v>
      </c>
      <c r="N90" s="1266">
        <v>450000</v>
      </c>
      <c r="O90" s="7"/>
      <c r="W90" s="478" t="s">
        <v>965</v>
      </c>
      <c r="X90" s="54"/>
      <c r="Y90" s="475"/>
      <c r="Z90" s="475"/>
      <c r="AA90"/>
    </row>
    <row r="91" spans="2:27" ht="12.75">
      <c r="B91" s="55"/>
      <c r="C91" s="55"/>
      <c r="D91" s="56"/>
      <c r="E91" s="56"/>
      <c r="F91" s="57"/>
      <c r="G91" s="56"/>
      <c r="H91" s="56"/>
      <c r="I91" s="56"/>
      <c r="J91" s="56"/>
      <c r="K91" s="56"/>
      <c r="L91" s="56"/>
      <c r="M91" s="56"/>
      <c r="N91" s="56"/>
      <c r="O91" s="7"/>
      <c r="W91" s="478" t="s">
        <v>1360</v>
      </c>
      <c r="X91" s="54"/>
      <c r="Y91" s="475">
        <v>88000</v>
      </c>
      <c r="Z91" s="475">
        <v>337000</v>
      </c>
      <c r="AA91"/>
    </row>
    <row r="92" spans="2:27" thickBot="1">
      <c r="B92" s="18" t="s">
        <v>86</v>
      </c>
      <c r="F92" t="s">
        <v>87</v>
      </c>
      <c r="O92" s="7"/>
      <c r="W92" s="478" t="s">
        <v>1361</v>
      </c>
      <c r="X92" s="54"/>
      <c r="Y92" s="475">
        <v>88000</v>
      </c>
      <c r="Z92" s="475">
        <v>337000</v>
      </c>
      <c r="AA92"/>
    </row>
    <row r="93" spans="2:27" ht="12.75">
      <c r="B93" s="44" t="s">
        <v>59</v>
      </c>
      <c r="C93" s="44"/>
      <c r="F93" s="570" t="s">
        <v>44</v>
      </c>
      <c r="G93" s="571" t="s">
        <v>60</v>
      </c>
      <c r="O93" s="7"/>
      <c r="W93" s="479" t="s">
        <v>1362</v>
      </c>
      <c r="X93" s="54"/>
      <c r="Y93" s="475">
        <v>88000</v>
      </c>
      <c r="Z93" s="475">
        <v>337000</v>
      </c>
      <c r="AA93"/>
    </row>
    <row r="94" spans="2:27" ht="12.75">
      <c r="B94" s="47" t="s">
        <v>15</v>
      </c>
      <c r="C94" s="47">
        <v>1</v>
      </c>
      <c r="F94" s="572" t="s">
        <v>46</v>
      </c>
      <c r="G94" s="573">
        <f ca="1">INDEX(D112:N121,1,VLOOKUP(렌터카견적내기!$AO$8,$B$94:$C$106,2,0))</f>
        <v>112000</v>
      </c>
      <c r="O94" s="7"/>
      <c r="W94" s="479" t="s">
        <v>1363</v>
      </c>
      <c r="X94" s="54"/>
      <c r="Y94" s="475">
        <v>88000</v>
      </c>
      <c r="Z94" s="475">
        <v>337000</v>
      </c>
      <c r="AA94"/>
    </row>
    <row r="95" spans="2:27" ht="12.75">
      <c r="B95" s="47" t="s">
        <v>16</v>
      </c>
      <c r="C95" s="47">
        <v>2</v>
      </c>
      <c r="F95" s="572" t="s">
        <v>48</v>
      </c>
      <c r="G95" s="573">
        <f ca="1">INDEX(D113:N122,1,VLOOKUP(렌터카견적내기!$AO$8,$B$94:$C$106,2,0))</f>
        <v>204000</v>
      </c>
      <c r="O95" s="7"/>
      <c r="W95" s="479" t="s">
        <v>1364</v>
      </c>
      <c r="X95" s="54"/>
      <c r="Y95" s="475">
        <v>88000</v>
      </c>
      <c r="Z95" s="475">
        <v>337000</v>
      </c>
      <c r="AA95"/>
    </row>
    <row r="96" spans="2:27" ht="12.75">
      <c r="B96" s="47" t="s">
        <v>17</v>
      </c>
      <c r="C96" s="47">
        <v>3</v>
      </c>
      <c r="F96" s="572" t="s">
        <v>49</v>
      </c>
      <c r="G96" s="573">
        <f ca="1">INDEX(D114:N126,1,VLOOKUP(렌터카견적내기!$AO$8,$B$94:$C$106,2,0))</f>
        <v>180000</v>
      </c>
      <c r="O96" s="7"/>
      <c r="W96" s="479" t="s">
        <v>1365</v>
      </c>
      <c r="X96" s="54"/>
      <c r="Y96" s="475">
        <v>88000</v>
      </c>
      <c r="Z96" s="475">
        <v>337000</v>
      </c>
      <c r="AA96"/>
    </row>
    <row r="97" spans="2:27" ht="12.75">
      <c r="B97" s="48" t="s">
        <v>61</v>
      </c>
      <c r="C97" s="48">
        <v>4</v>
      </c>
      <c r="F97" s="572" t="s">
        <v>50</v>
      </c>
      <c r="G97" s="573">
        <f ca="1">INDEX(D115:N127,1,VLOOKUP(렌터카견적내기!$AO$8,$B$94:$C$106,2,0))</f>
        <v>95000</v>
      </c>
      <c r="O97" s="7"/>
      <c r="W97" s="479" t="s">
        <v>1366</v>
      </c>
      <c r="X97" s="54"/>
      <c r="Y97" s="475">
        <v>88000</v>
      </c>
      <c r="Z97" s="475">
        <v>337000</v>
      </c>
      <c r="AA97"/>
    </row>
    <row r="98" spans="2:27" ht="12.75">
      <c r="B98" s="48" t="s">
        <v>62</v>
      </c>
      <c r="C98" s="48">
        <v>5</v>
      </c>
      <c r="F98" s="572" t="s">
        <v>51</v>
      </c>
      <c r="G98" s="573">
        <f ca="1">INDEX(D116:N128,1,VLOOKUP(렌터카견적내기!$AO$8,$B$94:$C$106,2,0))</f>
        <v>107000</v>
      </c>
      <c r="O98" s="7"/>
      <c r="W98" s="479" t="s">
        <v>1367</v>
      </c>
      <c r="X98" s="54"/>
      <c r="Y98" s="475">
        <v>88000</v>
      </c>
      <c r="Z98" s="475">
        <v>337000</v>
      </c>
      <c r="AA98"/>
    </row>
    <row r="99" spans="2:27" ht="12.75">
      <c r="B99" s="48" t="s">
        <v>63</v>
      </c>
      <c r="C99" s="48">
        <v>6</v>
      </c>
      <c r="F99" s="572" t="s">
        <v>52</v>
      </c>
      <c r="G99" s="573">
        <f ca="1">INDEX(D117:N129,1,VLOOKUP(렌터카견적내기!$AO$8,$B$94:$C$106,2,0))</f>
        <v>107000</v>
      </c>
      <c r="O99" s="7"/>
      <c r="W99" s="479" t="s">
        <v>1368</v>
      </c>
      <c r="X99" s="54"/>
      <c r="Y99" s="475">
        <v>88000</v>
      </c>
      <c r="Z99" s="475">
        <v>337000</v>
      </c>
      <c r="AA99"/>
    </row>
    <row r="100" spans="2:27" ht="12.75">
      <c r="B100" s="48" t="s">
        <v>64</v>
      </c>
      <c r="C100" s="48">
        <v>7</v>
      </c>
      <c r="F100" s="572" t="s">
        <v>53</v>
      </c>
      <c r="G100" s="573">
        <f ca="1">INDEX(D118:N130,1,VLOOKUP(렌터카견적내기!$AO$8,$B$94:$C$106,2,0))</f>
        <v>131000</v>
      </c>
      <c r="O100" s="7"/>
      <c r="W100" s="479" t="s">
        <v>1369</v>
      </c>
      <c r="X100" s="54"/>
      <c r="Y100" s="475">
        <v>88000</v>
      </c>
      <c r="Z100" s="475">
        <v>337000</v>
      </c>
      <c r="AA100"/>
    </row>
    <row r="101" spans="2:27" ht="12.75">
      <c r="B101" s="47" t="s">
        <v>65</v>
      </c>
      <c r="C101" s="47">
        <v>8</v>
      </c>
      <c r="F101" s="572" t="s">
        <v>54</v>
      </c>
      <c r="G101" s="573">
        <f ca="1">INDEX(D119:N131,1,VLOOKUP(렌터카견적내기!$AO$8,$B$94:$C$106,2,0))</f>
        <v>83000</v>
      </c>
      <c r="O101" s="7"/>
      <c r="W101" s="479" t="s">
        <v>1370</v>
      </c>
      <c r="X101" s="54"/>
      <c r="Y101" s="475">
        <v>88000</v>
      </c>
      <c r="Z101" s="475">
        <v>337000</v>
      </c>
      <c r="AA101"/>
    </row>
    <row r="102" spans="2:27" ht="12.75">
      <c r="B102" s="48" t="s">
        <v>66</v>
      </c>
      <c r="C102" s="48">
        <v>9</v>
      </c>
      <c r="F102" s="572" t="s">
        <v>55</v>
      </c>
      <c r="G102" s="573">
        <f ca="1">INDEX(D120:N132,1,VLOOKUP(렌터카견적내기!$AO$8,$B$94:$C$106,2,0))</f>
        <v>71000</v>
      </c>
      <c r="O102" s="7"/>
      <c r="W102" s="479" t="s">
        <v>1371</v>
      </c>
      <c r="X102" s="54"/>
      <c r="Y102" s="475">
        <v>88000</v>
      </c>
      <c r="Z102" s="475">
        <v>337000</v>
      </c>
      <c r="AA102"/>
    </row>
    <row r="103" spans="2:27" thickBot="1">
      <c r="B103" s="48" t="s">
        <v>67</v>
      </c>
      <c r="C103" s="48">
        <v>10</v>
      </c>
      <c r="F103" s="574" t="s">
        <v>56</v>
      </c>
      <c r="G103" s="575">
        <f ca="1">INDEX(D121:N133,1,VLOOKUP(렌터카견적내기!$AO$8,$B$94:$C$106,2,0))</f>
        <v>415000</v>
      </c>
      <c r="O103" s="7"/>
      <c r="W103" s="479" t="s">
        <v>969</v>
      </c>
      <c r="X103" s="54"/>
      <c r="Y103" s="475"/>
      <c r="Z103" s="475"/>
      <c r="AA103"/>
    </row>
    <row r="104" spans="2:27" ht="12.75">
      <c r="B104" s="48" t="s">
        <v>68</v>
      </c>
      <c r="C104" s="48">
        <v>11</v>
      </c>
      <c r="O104" s="7"/>
      <c r="W104" s="479" t="s">
        <v>1210</v>
      </c>
      <c r="X104" s="54"/>
      <c r="Y104" s="475">
        <v>82000</v>
      </c>
      <c r="Z104" s="475">
        <v>331000</v>
      </c>
      <c r="AA104"/>
    </row>
    <row r="105" spans="2:27" ht="12.75">
      <c r="B105" s="48" t="s">
        <v>69</v>
      </c>
      <c r="C105" s="48">
        <v>12</v>
      </c>
      <c r="O105" s="7"/>
      <c r="W105" s="479" t="s">
        <v>1211</v>
      </c>
      <c r="X105" s="54"/>
      <c r="Y105" s="475">
        <v>82000</v>
      </c>
      <c r="Z105" s="475">
        <v>331000</v>
      </c>
      <c r="AA105"/>
    </row>
    <row r="106" spans="2:27" ht="12.75">
      <c r="O106" s="7"/>
      <c r="W106" s="479" t="s">
        <v>1212</v>
      </c>
      <c r="X106" s="54"/>
      <c r="Y106" s="475">
        <v>82000</v>
      </c>
      <c r="Z106" s="475">
        <v>331000</v>
      </c>
      <c r="AA106"/>
    </row>
    <row r="107" spans="2:27" ht="12.75">
      <c r="O107" s="7"/>
      <c r="W107" s="479" t="s">
        <v>1835</v>
      </c>
      <c r="X107" s="54"/>
      <c r="Y107" s="475">
        <v>82000</v>
      </c>
      <c r="Z107" s="475">
        <v>331000</v>
      </c>
      <c r="AA107"/>
    </row>
    <row r="108" spans="2:27" thickBot="1">
      <c r="B108" t="s">
        <v>1532</v>
      </c>
      <c r="O108" s="7"/>
      <c r="W108" s="479" t="s">
        <v>1836</v>
      </c>
      <c r="X108" s="54"/>
      <c r="Y108" s="475">
        <v>82000</v>
      </c>
      <c r="Z108" s="475">
        <v>331000</v>
      </c>
      <c r="AA108"/>
    </row>
    <row r="109" spans="2:27" ht="12.75">
      <c r="B109" s="544" t="s">
        <v>7</v>
      </c>
      <c r="C109" s="545" t="s">
        <v>8</v>
      </c>
      <c r="D109" s="545" t="s">
        <v>9</v>
      </c>
      <c r="E109" s="545"/>
      <c r="F109" s="545"/>
      <c r="G109" s="545" t="s">
        <v>10</v>
      </c>
      <c r="H109" s="545"/>
      <c r="I109" s="545"/>
      <c r="J109" s="545"/>
      <c r="K109" s="545" t="s">
        <v>11</v>
      </c>
      <c r="L109" s="545" t="s">
        <v>12</v>
      </c>
      <c r="M109" s="545"/>
      <c r="N109" s="546" t="s">
        <v>13</v>
      </c>
      <c r="O109" s="7"/>
      <c r="W109" s="479" t="s">
        <v>1837</v>
      </c>
      <c r="X109" s="54"/>
      <c r="Y109" s="475">
        <v>82000</v>
      </c>
      <c r="Z109" s="475">
        <v>331000</v>
      </c>
      <c r="AA109"/>
    </row>
    <row r="110" spans="2:27" ht="12.75">
      <c r="B110" s="541" t="s">
        <v>14</v>
      </c>
      <c r="C110" s="35"/>
      <c r="D110" s="36" t="s">
        <v>82</v>
      </c>
      <c r="E110" s="36" t="s">
        <v>83</v>
      </c>
      <c r="F110" s="36" t="s">
        <v>84</v>
      </c>
      <c r="G110" s="540" t="s">
        <v>72</v>
      </c>
      <c r="H110" s="540" t="s">
        <v>73</v>
      </c>
      <c r="I110" s="540" t="s">
        <v>74</v>
      </c>
      <c r="J110" s="540" t="s">
        <v>75</v>
      </c>
      <c r="K110" s="540" t="s">
        <v>76</v>
      </c>
      <c r="L110" s="540" t="s">
        <v>77</v>
      </c>
      <c r="M110" s="540" t="s">
        <v>78</v>
      </c>
      <c r="N110" s="547" t="s">
        <v>79</v>
      </c>
      <c r="O110" s="7"/>
      <c r="W110" s="479" t="s">
        <v>1213</v>
      </c>
      <c r="X110" s="54"/>
      <c r="Y110" s="475">
        <v>82000</v>
      </c>
      <c r="Z110" s="475">
        <v>331000</v>
      </c>
      <c r="AA110"/>
    </row>
    <row r="111" spans="2:27" ht="33.75">
      <c r="B111" s="541" t="s">
        <v>85</v>
      </c>
      <c r="C111" s="35"/>
      <c r="D111" s="17" t="s">
        <v>28</v>
      </c>
      <c r="E111" s="17" t="s">
        <v>89</v>
      </c>
      <c r="F111" s="17" t="s">
        <v>1162</v>
      </c>
      <c r="G111" s="17" t="s">
        <v>29</v>
      </c>
      <c r="H111" s="17" t="s">
        <v>1163</v>
      </c>
      <c r="I111" s="17" t="s">
        <v>1168</v>
      </c>
      <c r="J111" s="17" t="s">
        <v>1164</v>
      </c>
      <c r="K111" s="17" t="s">
        <v>1165</v>
      </c>
      <c r="L111" s="17" t="s">
        <v>88</v>
      </c>
      <c r="M111" s="17" t="s">
        <v>1166</v>
      </c>
      <c r="N111" s="559" t="s">
        <v>1167</v>
      </c>
      <c r="O111" s="7"/>
      <c r="W111" s="479" t="s">
        <v>1214</v>
      </c>
      <c r="X111" s="54"/>
      <c r="Y111" s="475">
        <v>82000</v>
      </c>
      <c r="Z111" s="475">
        <v>331000</v>
      </c>
      <c r="AA111"/>
    </row>
    <row r="112" spans="2:27" ht="12.75">
      <c r="B112" s="58" t="s">
        <v>31</v>
      </c>
      <c r="C112" s="59" t="s">
        <v>81</v>
      </c>
      <c r="D112" s="59">
        <v>71000</v>
      </c>
      <c r="E112" s="59">
        <v>112000</v>
      </c>
      <c r="F112" s="59">
        <v>112000</v>
      </c>
      <c r="G112" s="59">
        <v>61000</v>
      </c>
      <c r="H112" s="59">
        <v>72000</v>
      </c>
      <c r="I112" s="59">
        <v>60000</v>
      </c>
      <c r="J112" s="59">
        <v>85000</v>
      </c>
      <c r="K112" s="59">
        <v>124000</v>
      </c>
      <c r="L112" s="59">
        <v>68000</v>
      </c>
      <c r="M112" s="59">
        <v>112000</v>
      </c>
      <c r="N112" s="565">
        <v>59000</v>
      </c>
      <c r="O112" s="7"/>
      <c r="W112" s="479" t="s">
        <v>1215</v>
      </c>
      <c r="X112" s="54"/>
      <c r="Y112" s="475">
        <v>82000</v>
      </c>
      <c r="Z112" s="475">
        <v>331000</v>
      </c>
      <c r="AA112"/>
    </row>
    <row r="113" spans="1:27" ht="12.75">
      <c r="B113" s="58" t="s">
        <v>48</v>
      </c>
      <c r="C113" s="59" t="s">
        <v>81</v>
      </c>
      <c r="D113" s="59">
        <v>178000</v>
      </c>
      <c r="E113" s="59">
        <v>204000</v>
      </c>
      <c r="F113" s="59">
        <v>204000</v>
      </c>
      <c r="G113" s="59">
        <v>168000</v>
      </c>
      <c r="H113" s="59">
        <v>124000</v>
      </c>
      <c r="I113" s="59">
        <v>112000</v>
      </c>
      <c r="J113" s="59">
        <v>191000</v>
      </c>
      <c r="K113" s="59">
        <v>216000</v>
      </c>
      <c r="L113" s="59">
        <v>180000</v>
      </c>
      <c r="M113" s="59">
        <v>204000</v>
      </c>
      <c r="N113" s="565">
        <v>165000</v>
      </c>
      <c r="O113" s="7"/>
      <c r="W113" s="479" t="s">
        <v>1823</v>
      </c>
      <c r="X113" s="54"/>
      <c r="Y113" s="475">
        <v>82000</v>
      </c>
      <c r="Z113" s="475">
        <v>331000</v>
      </c>
      <c r="AA113"/>
    </row>
    <row r="114" spans="1:27" ht="12.75">
      <c r="B114" s="58" t="s">
        <v>49</v>
      </c>
      <c r="C114" s="59" t="s">
        <v>81</v>
      </c>
      <c r="D114" s="59">
        <v>123000</v>
      </c>
      <c r="E114" s="59">
        <v>180000</v>
      </c>
      <c r="F114" s="59">
        <v>180000</v>
      </c>
      <c r="G114" s="59">
        <v>113000</v>
      </c>
      <c r="H114" s="59">
        <v>72000</v>
      </c>
      <c r="I114" s="59">
        <v>60000</v>
      </c>
      <c r="J114" s="59">
        <v>136000</v>
      </c>
      <c r="K114" s="59">
        <v>180000</v>
      </c>
      <c r="L114" s="59">
        <v>125000</v>
      </c>
      <c r="M114" s="59">
        <v>168000</v>
      </c>
      <c r="N114" s="565">
        <v>110000</v>
      </c>
      <c r="O114" s="7"/>
      <c r="W114" s="479" t="s">
        <v>1824</v>
      </c>
      <c r="X114" s="54"/>
      <c r="Y114" s="475">
        <v>82000</v>
      </c>
      <c r="Z114" s="475">
        <v>331000</v>
      </c>
      <c r="AA114"/>
    </row>
    <row r="115" spans="1:27" ht="12.75">
      <c r="B115" s="58" t="s">
        <v>50</v>
      </c>
      <c r="C115" s="59" t="s">
        <v>81</v>
      </c>
      <c r="D115" s="59">
        <v>80000</v>
      </c>
      <c r="E115" s="59">
        <v>95000</v>
      </c>
      <c r="F115" s="59">
        <v>95000</v>
      </c>
      <c r="G115" s="59">
        <v>70000</v>
      </c>
      <c r="H115" s="59">
        <v>76000</v>
      </c>
      <c r="I115" s="59">
        <v>64000</v>
      </c>
      <c r="J115" s="59">
        <v>71000</v>
      </c>
      <c r="K115" s="59">
        <v>95000</v>
      </c>
      <c r="L115" s="59">
        <v>82000</v>
      </c>
      <c r="M115" s="59">
        <v>107000</v>
      </c>
      <c r="N115" s="565">
        <v>67000</v>
      </c>
      <c r="O115" s="7"/>
      <c r="W115" s="479" t="s">
        <v>1825</v>
      </c>
      <c r="X115" s="54"/>
      <c r="Y115" s="475">
        <v>82000</v>
      </c>
      <c r="Z115" s="475">
        <v>331000</v>
      </c>
      <c r="AA115"/>
    </row>
    <row r="116" spans="1:27" ht="12.75">
      <c r="B116" s="58" t="s">
        <v>51</v>
      </c>
      <c r="C116" s="59" t="s">
        <v>81</v>
      </c>
      <c r="D116" s="59">
        <v>75000</v>
      </c>
      <c r="E116" s="59">
        <v>107000</v>
      </c>
      <c r="F116" s="59">
        <v>107000</v>
      </c>
      <c r="G116" s="59">
        <v>65000</v>
      </c>
      <c r="H116" s="59">
        <v>137000</v>
      </c>
      <c r="I116" s="59">
        <v>125000</v>
      </c>
      <c r="J116" s="59">
        <v>59000</v>
      </c>
      <c r="K116" s="59">
        <v>83000</v>
      </c>
      <c r="L116" s="59">
        <v>77000</v>
      </c>
      <c r="M116" s="59">
        <v>95000</v>
      </c>
      <c r="N116" s="565">
        <v>63000</v>
      </c>
      <c r="O116" s="7"/>
      <c r="W116" s="479" t="s">
        <v>1216</v>
      </c>
      <c r="X116" s="54"/>
      <c r="Y116" s="475">
        <v>82000</v>
      </c>
      <c r="Z116" s="475">
        <v>331000</v>
      </c>
      <c r="AA116"/>
    </row>
    <row r="117" spans="1:27" ht="12.75">
      <c r="B117" s="58" t="s">
        <v>52</v>
      </c>
      <c r="C117" s="59" t="s">
        <v>81</v>
      </c>
      <c r="D117" s="59">
        <v>135000</v>
      </c>
      <c r="E117" s="59">
        <v>107000</v>
      </c>
      <c r="F117" s="59">
        <v>107000</v>
      </c>
      <c r="G117" s="59">
        <v>125000</v>
      </c>
      <c r="H117" s="59">
        <v>185000</v>
      </c>
      <c r="I117" s="59">
        <v>185000</v>
      </c>
      <c r="J117" s="59">
        <v>47000</v>
      </c>
      <c r="K117" s="59">
        <v>107000</v>
      </c>
      <c r="L117" s="59">
        <v>137000</v>
      </c>
      <c r="M117" s="59">
        <v>107000</v>
      </c>
      <c r="N117" s="565">
        <v>123000</v>
      </c>
      <c r="O117" s="7"/>
      <c r="W117" s="479" t="s">
        <v>1838</v>
      </c>
      <c r="X117" s="54"/>
      <c r="Y117" s="475">
        <v>82000</v>
      </c>
      <c r="Z117" s="475">
        <v>331000</v>
      </c>
      <c r="AA117"/>
    </row>
    <row r="118" spans="1:27" ht="12.75">
      <c r="B118" s="58" t="s">
        <v>53</v>
      </c>
      <c r="C118" s="59" t="s">
        <v>81</v>
      </c>
      <c r="D118" s="59">
        <v>195000</v>
      </c>
      <c r="E118" s="59">
        <v>131000</v>
      </c>
      <c r="F118" s="59">
        <v>131000</v>
      </c>
      <c r="G118" s="59">
        <v>185000</v>
      </c>
      <c r="H118" s="59">
        <v>164000</v>
      </c>
      <c r="I118" s="59">
        <v>152000</v>
      </c>
      <c r="J118" s="59">
        <v>36000</v>
      </c>
      <c r="K118" s="59">
        <v>131000</v>
      </c>
      <c r="L118" s="59">
        <v>197000</v>
      </c>
      <c r="M118" s="59">
        <v>131000</v>
      </c>
      <c r="N118" s="565">
        <v>183000</v>
      </c>
      <c r="O118" s="7"/>
      <c r="W118" s="479" t="s">
        <v>1217</v>
      </c>
      <c r="X118" s="54"/>
      <c r="Y118" s="475">
        <v>82000</v>
      </c>
      <c r="Z118" s="475">
        <v>331000</v>
      </c>
    </row>
    <row r="119" spans="1:27" ht="12.75">
      <c r="B119" s="58" t="s">
        <v>54</v>
      </c>
      <c r="C119" s="59" t="s">
        <v>81</v>
      </c>
      <c r="D119" s="59">
        <v>163000</v>
      </c>
      <c r="E119" s="59">
        <v>83000</v>
      </c>
      <c r="F119" s="59">
        <v>83000</v>
      </c>
      <c r="G119" s="59">
        <v>153000</v>
      </c>
      <c r="H119" s="59">
        <v>185000</v>
      </c>
      <c r="I119" s="59">
        <v>185000</v>
      </c>
      <c r="J119" s="59">
        <v>95000</v>
      </c>
      <c r="K119" s="59">
        <v>83000</v>
      </c>
      <c r="L119" s="59">
        <v>165000</v>
      </c>
      <c r="M119" s="59">
        <v>83000</v>
      </c>
      <c r="N119" s="565">
        <v>151000</v>
      </c>
      <c r="O119" s="7"/>
      <c r="W119" s="479" t="s">
        <v>1826</v>
      </c>
      <c r="X119" s="54"/>
      <c r="Y119" s="475">
        <v>82000</v>
      </c>
      <c r="Z119" s="475">
        <v>331000</v>
      </c>
    </row>
    <row r="120" spans="1:27" ht="12.75">
      <c r="B120" s="58" t="s">
        <v>55</v>
      </c>
      <c r="C120" s="59" t="s">
        <v>81</v>
      </c>
      <c r="D120" s="59">
        <v>196000</v>
      </c>
      <c r="E120" s="59">
        <v>71000</v>
      </c>
      <c r="F120" s="59">
        <v>71000</v>
      </c>
      <c r="G120" s="59">
        <v>191000</v>
      </c>
      <c r="H120" s="59">
        <v>197000</v>
      </c>
      <c r="I120" s="59">
        <v>190000</v>
      </c>
      <c r="J120" s="59">
        <v>105000</v>
      </c>
      <c r="K120" s="59">
        <v>46000</v>
      </c>
      <c r="L120" s="59">
        <v>198000</v>
      </c>
      <c r="M120" s="59">
        <v>42000</v>
      </c>
      <c r="N120" s="565">
        <v>189000</v>
      </c>
      <c r="O120" s="7"/>
      <c r="W120" s="479" t="s">
        <v>1218</v>
      </c>
      <c r="X120" s="54"/>
      <c r="Y120" s="475">
        <v>82000</v>
      </c>
      <c r="Z120" s="475">
        <v>331000</v>
      </c>
    </row>
    <row r="121" spans="1:27" thickBot="1">
      <c r="B121" s="566" t="s">
        <v>56</v>
      </c>
      <c r="C121" s="567" t="s">
        <v>81</v>
      </c>
      <c r="D121" s="568">
        <v>415000</v>
      </c>
      <c r="E121" s="568">
        <v>415000</v>
      </c>
      <c r="F121" s="568">
        <v>415000</v>
      </c>
      <c r="G121" s="568">
        <v>415000</v>
      </c>
      <c r="H121" s="568">
        <v>415000</v>
      </c>
      <c r="I121" s="568">
        <v>415000</v>
      </c>
      <c r="J121" s="568">
        <v>415000</v>
      </c>
      <c r="K121" s="568">
        <v>415000</v>
      </c>
      <c r="L121" s="568">
        <v>415000</v>
      </c>
      <c r="M121" s="568">
        <v>415000</v>
      </c>
      <c r="N121" s="569">
        <v>415000</v>
      </c>
      <c r="O121" s="7"/>
      <c r="W121" s="479" t="s">
        <v>1827</v>
      </c>
      <c r="X121" s="54"/>
      <c r="Y121" s="475">
        <v>82000</v>
      </c>
      <c r="Z121" s="475">
        <v>331000</v>
      </c>
    </row>
    <row r="122" spans="1:27" thickBo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2"/>
      <c r="W122" s="479" t="s">
        <v>971</v>
      </c>
      <c r="X122" s="54"/>
      <c r="Y122" s="475"/>
      <c r="Z122" s="475"/>
    </row>
    <row r="123" spans="1:27" ht="12.75">
      <c r="W123" s="479" t="s">
        <v>1073</v>
      </c>
      <c r="X123" s="54"/>
      <c r="Y123" s="475">
        <v>80000</v>
      </c>
      <c r="Z123" s="475">
        <v>318000</v>
      </c>
    </row>
    <row r="124" spans="1:27" ht="12.75">
      <c r="W124" s="479" t="s">
        <v>1436</v>
      </c>
      <c r="X124" s="54"/>
      <c r="Y124" s="475">
        <v>80000</v>
      </c>
      <c r="Z124" s="475">
        <v>318000</v>
      </c>
    </row>
    <row r="125" spans="1:27" ht="12.75">
      <c r="W125" s="479" t="s">
        <v>1074</v>
      </c>
      <c r="X125" s="54"/>
      <c r="Y125" s="475">
        <v>80000</v>
      </c>
      <c r="Z125" s="475">
        <v>318000</v>
      </c>
    </row>
    <row r="126" spans="1:27" ht="12.75">
      <c r="W126" s="479" t="s">
        <v>1437</v>
      </c>
      <c r="X126" s="54"/>
      <c r="Y126" s="475">
        <v>80000</v>
      </c>
      <c r="Z126" s="475">
        <v>318000</v>
      </c>
    </row>
    <row r="127" spans="1:27" ht="12.75">
      <c r="W127" s="479" t="s">
        <v>1108</v>
      </c>
      <c r="X127" s="54"/>
      <c r="Y127" s="475"/>
      <c r="Z127" s="475"/>
    </row>
    <row r="128" spans="1:27" ht="12.75">
      <c r="D128" t="str">
        <f t="shared" ref="D128:N128" si="12">IF(D112=D66,"o","x")</f>
        <v>x</v>
      </c>
      <c r="E128" t="str">
        <f t="shared" si="12"/>
        <v>x</v>
      </c>
      <c r="F128" t="str">
        <f t="shared" si="12"/>
        <v>x</v>
      </c>
      <c r="G128" t="str">
        <f t="shared" si="12"/>
        <v>x</v>
      </c>
      <c r="H128" t="str">
        <f t="shared" si="12"/>
        <v>x</v>
      </c>
      <c r="I128" t="str">
        <f t="shared" si="12"/>
        <v>x</v>
      </c>
      <c r="J128" t="str">
        <f t="shared" si="12"/>
        <v>x</v>
      </c>
      <c r="K128" t="str">
        <f t="shared" si="12"/>
        <v>x</v>
      </c>
      <c r="L128" t="str">
        <f t="shared" si="12"/>
        <v>x</v>
      </c>
      <c r="M128" t="str">
        <f t="shared" si="12"/>
        <v>x</v>
      </c>
      <c r="N128" t="str">
        <f t="shared" si="12"/>
        <v>x</v>
      </c>
      <c r="W128" s="479" t="s">
        <v>1717</v>
      </c>
      <c r="X128" s="54"/>
      <c r="Y128" s="475">
        <v>116000</v>
      </c>
      <c r="Z128" s="475">
        <v>116000</v>
      </c>
    </row>
    <row r="129" spans="4:26" ht="12.75">
      <c r="D129" t="str">
        <f t="shared" ref="D129:N129" si="13">IF(D113=D67,"o","x")</f>
        <v>x</v>
      </c>
      <c r="E129" t="str">
        <f t="shared" si="13"/>
        <v>x</v>
      </c>
      <c r="F129" t="str">
        <f t="shared" si="13"/>
        <v>x</v>
      </c>
      <c r="G129" t="str">
        <f t="shared" si="13"/>
        <v>x</v>
      </c>
      <c r="H129" t="str">
        <f t="shared" si="13"/>
        <v>x</v>
      </c>
      <c r="I129" t="str">
        <f t="shared" si="13"/>
        <v>x</v>
      </c>
      <c r="J129" t="str">
        <f t="shared" si="13"/>
        <v>x</v>
      </c>
      <c r="K129" t="str">
        <f t="shared" si="13"/>
        <v>x</v>
      </c>
      <c r="L129" t="str">
        <f t="shared" si="13"/>
        <v>x</v>
      </c>
      <c r="M129" t="str">
        <f t="shared" si="13"/>
        <v>x</v>
      </c>
      <c r="N129" t="str">
        <f t="shared" si="13"/>
        <v>x</v>
      </c>
      <c r="W129" s="479" t="s">
        <v>1106</v>
      </c>
      <c r="X129" s="54"/>
      <c r="Y129" s="475">
        <v>78000</v>
      </c>
      <c r="Z129" s="475">
        <v>301000</v>
      </c>
    </row>
    <row r="130" spans="4:26" ht="12.75">
      <c r="D130" t="str">
        <f t="shared" ref="D130:N130" si="14">IF(D114=D68,"o","x")</f>
        <v>x</v>
      </c>
      <c r="E130" t="str">
        <f t="shared" si="14"/>
        <v>x</v>
      </c>
      <c r="F130" t="str">
        <f t="shared" si="14"/>
        <v>x</v>
      </c>
      <c r="G130" t="str">
        <f t="shared" si="14"/>
        <v>x</v>
      </c>
      <c r="H130" t="str">
        <f t="shared" si="14"/>
        <v>x</v>
      </c>
      <c r="I130" t="str">
        <f t="shared" si="14"/>
        <v>x</v>
      </c>
      <c r="J130" t="str">
        <f t="shared" si="14"/>
        <v>x</v>
      </c>
      <c r="K130" t="str">
        <f t="shared" si="14"/>
        <v>x</v>
      </c>
      <c r="L130" t="str">
        <f t="shared" si="14"/>
        <v>x</v>
      </c>
      <c r="M130" t="str">
        <f t="shared" si="14"/>
        <v>x</v>
      </c>
      <c r="N130" t="str">
        <f t="shared" si="14"/>
        <v>x</v>
      </c>
      <c r="W130" s="479" t="s">
        <v>1500</v>
      </c>
      <c r="X130" s="54"/>
      <c r="Y130" s="475">
        <v>81000</v>
      </c>
      <c r="Z130" s="475">
        <v>381000</v>
      </c>
    </row>
    <row r="131" spans="4:26" ht="12.75">
      <c r="D131" t="str">
        <f t="shared" ref="D131:N131" si="15">IF(D115=D69,"o","x")</f>
        <v>x</v>
      </c>
      <c r="E131" t="str">
        <f t="shared" si="15"/>
        <v>x</v>
      </c>
      <c r="F131" t="str">
        <f t="shared" si="15"/>
        <v>x</v>
      </c>
      <c r="G131" t="str">
        <f t="shared" si="15"/>
        <v>x</v>
      </c>
      <c r="H131" t="str">
        <f t="shared" si="15"/>
        <v>x</v>
      </c>
      <c r="I131" t="str">
        <f t="shared" si="15"/>
        <v>x</v>
      </c>
      <c r="J131" t="str">
        <f t="shared" si="15"/>
        <v>x</v>
      </c>
      <c r="K131" t="str">
        <f t="shared" si="15"/>
        <v>x</v>
      </c>
      <c r="L131" t="str">
        <f t="shared" si="15"/>
        <v>x</v>
      </c>
      <c r="M131" t="str">
        <f t="shared" si="15"/>
        <v>x</v>
      </c>
      <c r="N131" t="str">
        <f t="shared" si="15"/>
        <v>x</v>
      </c>
      <c r="W131" s="479" t="s">
        <v>1501</v>
      </c>
      <c r="X131" s="54"/>
      <c r="Y131" s="475">
        <v>81000</v>
      </c>
      <c r="Z131" s="475">
        <v>381000</v>
      </c>
    </row>
    <row r="132" spans="4:26" ht="12.75">
      <c r="D132" t="str">
        <f t="shared" ref="D132:N132" si="16">IF(D116=D70,"o","x")</f>
        <v>x</v>
      </c>
      <c r="E132" t="str">
        <f t="shared" si="16"/>
        <v>x</v>
      </c>
      <c r="F132" t="str">
        <f t="shared" si="16"/>
        <v>x</v>
      </c>
      <c r="G132" t="str">
        <f t="shared" si="16"/>
        <v>x</v>
      </c>
      <c r="H132" t="str">
        <f t="shared" si="16"/>
        <v>x</v>
      </c>
      <c r="I132" t="str">
        <f t="shared" si="16"/>
        <v>x</v>
      </c>
      <c r="J132" t="str">
        <f t="shared" si="16"/>
        <v>x</v>
      </c>
      <c r="K132" t="str">
        <f t="shared" si="16"/>
        <v>x</v>
      </c>
      <c r="L132" t="str">
        <f t="shared" si="16"/>
        <v>x</v>
      </c>
      <c r="M132" t="str">
        <f t="shared" si="16"/>
        <v>x</v>
      </c>
      <c r="N132" t="str">
        <f t="shared" si="16"/>
        <v>x</v>
      </c>
      <c r="W132" s="343" t="s">
        <v>1107</v>
      </c>
      <c r="X132" s="54"/>
      <c r="Y132" s="475">
        <v>0</v>
      </c>
      <c r="Z132" s="475">
        <v>381000</v>
      </c>
    </row>
    <row r="133" spans="4:26" ht="12.75">
      <c r="D133" t="str">
        <f t="shared" ref="D133:N133" si="17">IF(D117=D71,"o","x")</f>
        <v>x</v>
      </c>
      <c r="E133" t="str">
        <f t="shared" si="17"/>
        <v>x</v>
      </c>
      <c r="F133" t="str">
        <f t="shared" si="17"/>
        <v>x</v>
      </c>
      <c r="G133" t="str">
        <f t="shared" si="17"/>
        <v>x</v>
      </c>
      <c r="H133" t="str">
        <f t="shared" si="17"/>
        <v>x</v>
      </c>
      <c r="I133" t="str">
        <f t="shared" si="17"/>
        <v>x</v>
      </c>
      <c r="J133" t="str">
        <f t="shared" si="17"/>
        <v>x</v>
      </c>
      <c r="K133" t="str">
        <f t="shared" si="17"/>
        <v>x</v>
      </c>
      <c r="L133" t="str">
        <f t="shared" si="17"/>
        <v>x</v>
      </c>
      <c r="M133" t="str">
        <f t="shared" si="17"/>
        <v>x</v>
      </c>
      <c r="N133" t="str">
        <f t="shared" si="17"/>
        <v>x</v>
      </c>
      <c r="W133" s="343" t="s">
        <v>962</v>
      </c>
      <c r="X133" s="54"/>
      <c r="Y133" s="475">
        <v>82000</v>
      </c>
      <c r="Z133" s="475">
        <v>329000</v>
      </c>
    </row>
    <row r="134" spans="4:26" ht="12.75">
      <c r="D134" t="str">
        <f t="shared" ref="D134:N134" si="18">IF(D118=D72,"o","x")</f>
        <v>x</v>
      </c>
      <c r="E134" t="str">
        <f t="shared" si="18"/>
        <v>x</v>
      </c>
      <c r="F134" t="str">
        <f t="shared" si="18"/>
        <v>x</v>
      </c>
      <c r="G134" t="str">
        <f t="shared" si="18"/>
        <v>x</v>
      </c>
      <c r="H134" t="str">
        <f t="shared" si="18"/>
        <v>x</v>
      </c>
      <c r="I134" t="str">
        <f t="shared" si="18"/>
        <v>x</v>
      </c>
      <c r="J134" t="str">
        <f t="shared" si="18"/>
        <v>x</v>
      </c>
      <c r="K134" t="str">
        <f t="shared" si="18"/>
        <v>x</v>
      </c>
      <c r="L134" t="str">
        <f t="shared" si="18"/>
        <v>x</v>
      </c>
      <c r="M134" t="str">
        <f t="shared" si="18"/>
        <v>x</v>
      </c>
      <c r="N134" t="str">
        <f t="shared" si="18"/>
        <v>x</v>
      </c>
      <c r="W134" s="974" t="s">
        <v>916</v>
      </c>
      <c r="Y134" s="474">
        <v>81000</v>
      </c>
      <c r="Z134" s="474">
        <v>329000</v>
      </c>
    </row>
    <row r="135" spans="4:26" ht="12.75">
      <c r="D135" t="str">
        <f t="shared" ref="D135:N135" si="19">IF(D119=D73,"o","x")</f>
        <v>x</v>
      </c>
      <c r="E135" t="str">
        <f t="shared" si="19"/>
        <v>x</v>
      </c>
      <c r="F135" t="str">
        <f t="shared" si="19"/>
        <v>x</v>
      </c>
      <c r="G135" t="str">
        <f t="shared" si="19"/>
        <v>x</v>
      </c>
      <c r="H135" t="str">
        <f t="shared" si="19"/>
        <v>x</v>
      </c>
      <c r="I135" t="str">
        <f t="shared" si="19"/>
        <v>x</v>
      </c>
      <c r="J135" t="str">
        <f t="shared" si="19"/>
        <v>x</v>
      </c>
      <c r="K135" t="str">
        <f t="shared" si="19"/>
        <v>x</v>
      </c>
      <c r="L135" t="str">
        <f t="shared" si="19"/>
        <v>x</v>
      </c>
      <c r="M135" t="str">
        <f t="shared" si="19"/>
        <v>x</v>
      </c>
      <c r="N135" t="str">
        <f t="shared" si="19"/>
        <v>x</v>
      </c>
      <c r="W135" s="179" t="s">
        <v>917</v>
      </c>
      <c r="X135" s="54"/>
      <c r="Y135" s="475">
        <v>81000</v>
      </c>
      <c r="Z135" s="475">
        <v>329000</v>
      </c>
    </row>
    <row r="136" spans="4:26" ht="12.75">
      <c r="D136" t="str">
        <f t="shared" ref="D136:N136" si="20">IF(D120=D74,"o","x")</f>
        <v>x</v>
      </c>
      <c r="E136" t="str">
        <f t="shared" si="20"/>
        <v>x</v>
      </c>
      <c r="F136" t="str">
        <f t="shared" si="20"/>
        <v>x</v>
      </c>
      <c r="G136" t="str">
        <f t="shared" si="20"/>
        <v>x</v>
      </c>
      <c r="H136" t="str">
        <f t="shared" si="20"/>
        <v>x</v>
      </c>
      <c r="I136" t="str">
        <f t="shared" si="20"/>
        <v>x</v>
      </c>
      <c r="J136" t="str">
        <f t="shared" si="20"/>
        <v>x</v>
      </c>
      <c r="K136" t="str">
        <f t="shared" si="20"/>
        <v>x</v>
      </c>
      <c r="L136" t="str">
        <f t="shared" si="20"/>
        <v>x</v>
      </c>
      <c r="M136" t="str">
        <f t="shared" si="20"/>
        <v>x</v>
      </c>
      <c r="N136" t="str">
        <f t="shared" si="20"/>
        <v>x</v>
      </c>
      <c r="W136" s="179" t="s">
        <v>918</v>
      </c>
      <c r="X136" s="54"/>
      <c r="Y136" s="475">
        <v>81000</v>
      </c>
      <c r="Z136" s="475">
        <v>329000</v>
      </c>
    </row>
    <row r="137" spans="4:26" ht="12.75">
      <c r="D137" t="str">
        <f t="shared" ref="D137:N137" si="21">IF(D121=D75,"o","x")</f>
        <v>x</v>
      </c>
      <c r="E137" t="str">
        <f t="shared" si="21"/>
        <v>x</v>
      </c>
      <c r="F137" t="str">
        <f t="shared" si="21"/>
        <v>x</v>
      </c>
      <c r="G137" t="str">
        <f t="shared" si="21"/>
        <v>x</v>
      </c>
      <c r="H137" t="str">
        <f t="shared" si="21"/>
        <v>x</v>
      </c>
      <c r="I137" t="str">
        <f t="shared" si="21"/>
        <v>x</v>
      </c>
      <c r="J137" t="str">
        <f t="shared" si="21"/>
        <v>x</v>
      </c>
      <c r="K137" t="str">
        <f t="shared" si="21"/>
        <v>x</v>
      </c>
      <c r="L137" t="str">
        <f t="shared" si="21"/>
        <v>x</v>
      </c>
      <c r="M137" t="str">
        <f t="shared" si="21"/>
        <v>x</v>
      </c>
      <c r="N137" t="str">
        <f t="shared" si="21"/>
        <v>x</v>
      </c>
      <c r="W137" s="343" t="s">
        <v>964</v>
      </c>
      <c r="X137" s="54"/>
      <c r="Y137" s="475">
        <v>82000</v>
      </c>
      <c r="Z137" s="475">
        <v>318000</v>
      </c>
    </row>
    <row r="138" spans="4:26" ht="12.75">
      <c r="W138" s="343" t="s">
        <v>1839</v>
      </c>
      <c r="X138" s="54"/>
      <c r="Y138" s="475"/>
      <c r="Z138" s="475"/>
    </row>
    <row r="139" spans="4:26" ht="12.75">
      <c r="W139" s="343" t="s">
        <v>1314</v>
      </c>
      <c r="X139" s="54"/>
      <c r="Y139" s="475">
        <v>80000</v>
      </c>
      <c r="Z139" s="475">
        <v>80000</v>
      </c>
    </row>
    <row r="140" spans="4:26" ht="12.75">
      <c r="W140" s="343" t="s">
        <v>1315</v>
      </c>
      <c r="X140" s="54"/>
      <c r="Y140" s="475">
        <v>80000</v>
      </c>
      <c r="Z140" s="475">
        <v>80000</v>
      </c>
    </row>
    <row r="141" spans="4:26" ht="12.75">
      <c r="W141" s="343" t="s">
        <v>1289</v>
      </c>
      <c r="X141" s="54"/>
      <c r="Y141" s="475">
        <v>78000</v>
      </c>
      <c r="Z141" s="475">
        <v>78000</v>
      </c>
    </row>
    <row r="142" spans="4:26">
      <c r="W142" s="343" t="s">
        <v>1735</v>
      </c>
      <c r="X142" s="54"/>
      <c r="Y142" s="475">
        <v>80000</v>
      </c>
      <c r="Z142" s="1392">
        <v>329000</v>
      </c>
    </row>
    <row r="143" spans="4:26">
      <c r="W143" s="343" t="s">
        <v>1792</v>
      </c>
      <c r="X143" s="54"/>
      <c r="Y143" s="475">
        <v>82000</v>
      </c>
      <c r="Z143" s="1392">
        <v>331000</v>
      </c>
    </row>
    <row r="144" spans="4:26">
      <c r="W144" s="343" t="s">
        <v>1286</v>
      </c>
      <c r="X144" s="54"/>
      <c r="Y144" s="475">
        <v>80000</v>
      </c>
      <c r="Z144" s="1392">
        <v>80000</v>
      </c>
    </row>
    <row r="145" spans="23:26">
      <c r="W145" s="343" t="s">
        <v>1956</v>
      </c>
      <c r="X145" s="54"/>
      <c r="Y145" s="475">
        <v>77000</v>
      </c>
      <c r="Z145" s="1392">
        <v>301000</v>
      </c>
    </row>
    <row r="173" spans="23:23">
      <c r="W173" s="471"/>
    </row>
    <row r="182" spans="23:23">
      <c r="W182" s="1129"/>
    </row>
    <row r="183" spans="23:23">
      <c r="W183" s="1129"/>
    </row>
    <row r="184" spans="23:23">
      <c r="W184" s="1129"/>
    </row>
    <row r="185" spans="23:23">
      <c r="W185" s="1129"/>
    </row>
    <row r="188" spans="23:23">
      <c r="W188" s="1129"/>
    </row>
    <row r="189" spans="23:23">
      <c r="W189" s="471"/>
    </row>
    <row r="190" spans="23:23">
      <c r="W190" s="471"/>
    </row>
    <row r="191" spans="23:23">
      <c r="W191" s="471"/>
    </row>
    <row r="192" spans="23:23">
      <c r="W192" s="471"/>
    </row>
    <row r="193" spans="23:23">
      <c r="W193" s="471"/>
    </row>
    <row r="194" spans="23:23">
      <c r="W194" s="471"/>
    </row>
    <row r="195" spans="23:23">
      <c r="W195" s="471"/>
    </row>
    <row r="221" spans="23:23">
      <c r="W221" s="471"/>
    </row>
    <row r="222" spans="23:23">
      <c r="W222" s="471"/>
    </row>
    <row r="223" spans="23:23">
      <c r="W223" s="471"/>
    </row>
    <row r="224" spans="23:23">
      <c r="W224" s="471"/>
    </row>
    <row r="225" spans="23:23">
      <c r="W225" s="471"/>
    </row>
    <row r="226" spans="23:23">
      <c r="W226" s="471"/>
    </row>
    <row r="227" spans="23:23">
      <c r="W227" s="471"/>
    </row>
    <row r="228" spans="23:23">
      <c r="W228" s="471"/>
    </row>
    <row r="229" spans="23:23">
      <c r="W229" s="471"/>
    </row>
    <row r="230" spans="23:23">
      <c r="W230" s="471"/>
    </row>
    <row r="231" spans="23:23">
      <c r="W231" s="471"/>
    </row>
    <row r="232" spans="23:23">
      <c r="W232" s="471"/>
    </row>
    <row r="233" spans="23:23">
      <c r="W233" s="471"/>
    </row>
    <row r="234" spans="23:23">
      <c r="W234" s="471"/>
    </row>
    <row r="235" spans="23:23">
      <c r="W235" s="471"/>
    </row>
    <row r="236" spans="23:23">
      <c r="W236" s="471"/>
    </row>
    <row r="237" spans="23:23">
      <c r="W237" s="1129"/>
    </row>
    <row r="238" spans="23:23">
      <c r="W238" s="1129"/>
    </row>
    <row r="239" spans="23:23">
      <c r="W239" s="1129"/>
    </row>
    <row r="240" spans="23:23">
      <c r="W240" s="1129"/>
    </row>
    <row r="241" spans="23:23">
      <c r="W241" s="1129"/>
    </row>
    <row r="242" spans="23:23">
      <c r="W242" s="1129"/>
    </row>
    <row r="243" spans="23:23">
      <c r="W243" s="1129"/>
    </row>
    <row r="244" spans="23:23">
      <c r="W244" s="1129"/>
    </row>
    <row r="252" spans="23:23">
      <c r="W252" s="1128"/>
    </row>
    <row r="253" spans="23:23">
      <c r="W253" s="1128"/>
    </row>
    <row r="254" spans="23:23">
      <c r="W254" s="1128"/>
    </row>
    <row r="257" spans="23:23">
      <c r="W257" s="1128"/>
    </row>
    <row r="258" spans="23:23">
      <c r="W258" s="1128"/>
    </row>
    <row r="259" spans="23:23">
      <c r="W259" s="1128"/>
    </row>
    <row r="260" spans="23:23">
      <c r="W260" s="1128"/>
    </row>
    <row r="261" spans="23:23">
      <c r="W261" s="1128"/>
    </row>
    <row r="262" spans="23:23">
      <c r="W262" s="1128"/>
    </row>
    <row r="263" spans="23:23">
      <c r="W263" s="1128"/>
    </row>
    <row r="264" spans="23:23">
      <c r="W264" s="1128"/>
    </row>
    <row r="265" spans="23:23">
      <c r="W265" s="1128"/>
    </row>
    <row r="319" spans="23:23">
      <c r="W319" s="471"/>
    </row>
  </sheetData>
  <mergeCells count="10">
    <mergeCell ref="P37:R37"/>
    <mergeCell ref="S37:U37"/>
    <mergeCell ref="S6:U6"/>
    <mergeCell ref="P1:R1"/>
    <mergeCell ref="B2:C2"/>
    <mergeCell ref="P21:U21"/>
    <mergeCell ref="P6:R6"/>
    <mergeCell ref="P20:U20"/>
    <mergeCell ref="P24:R24"/>
    <mergeCell ref="S24:U24"/>
  </mergeCells>
  <phoneticPr fontId="5" type="noConversion"/>
  <pageMargins left="0.7" right="0.7" top="0.75" bottom="0.75" header="0.3" footer="0.3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BU153"/>
  <sheetViews>
    <sheetView showGridLines="0" zoomScale="55" zoomScaleNormal="55" workbookViewId="0">
      <selection activeCell="F41" sqref="F41"/>
    </sheetView>
  </sheetViews>
  <sheetFormatPr defaultRowHeight="11.25"/>
  <cols>
    <col min="1" max="1" width="15.5703125" style="1176" bestFit="1" customWidth="1"/>
    <col min="2" max="2" width="10.42578125" style="1176" customWidth="1"/>
    <col min="3" max="3" width="10.140625" style="1176" bestFit="1" customWidth="1"/>
    <col min="4" max="4" width="15" style="1176" customWidth="1"/>
    <col min="5" max="5" width="10.5703125" style="1176" bestFit="1" customWidth="1"/>
    <col min="6" max="6" width="11.28515625" style="1176" bestFit="1" customWidth="1"/>
    <col min="7" max="7" width="9.140625" style="1176"/>
    <col min="8" max="8" width="18.5703125" style="1176" bestFit="1" customWidth="1"/>
    <col min="9" max="9" width="13.140625" style="1176" bestFit="1" customWidth="1"/>
    <col min="10" max="10" width="11.85546875" style="1176" bestFit="1" customWidth="1"/>
    <col min="11" max="14" width="11.7109375" style="1176" customWidth="1"/>
    <col min="15" max="15" width="2.85546875" style="1176" customWidth="1"/>
    <col min="16" max="16" width="12.7109375" style="1176" customWidth="1"/>
    <col min="17" max="17" width="15.7109375" style="1176" bestFit="1" customWidth="1"/>
    <col min="18" max="21" width="13.7109375" style="1176" customWidth="1"/>
    <col min="22" max="23" width="9.140625" style="1176"/>
    <col min="24" max="24" width="15.7109375" style="1176" bestFit="1" customWidth="1"/>
    <col min="25" max="28" width="13.7109375" style="1176" customWidth="1"/>
    <col min="29" max="30" width="9.140625" style="1176"/>
    <col min="31" max="31" width="15.7109375" style="1176" bestFit="1" customWidth="1"/>
    <col min="32" max="35" width="13.7109375" style="1176" customWidth="1"/>
    <col min="36" max="37" width="9.140625" style="1176"/>
    <col min="38" max="38" width="15.7109375" style="1176" bestFit="1" customWidth="1"/>
    <col min="39" max="39" width="13.85546875" style="1176" bestFit="1" customWidth="1"/>
    <col min="40" max="40" width="14.28515625" style="1176" bestFit="1" customWidth="1"/>
    <col min="41" max="41" width="12.28515625" style="1176" bestFit="1" customWidth="1"/>
    <col min="42" max="42" width="13.7109375" style="1176" bestFit="1" customWidth="1"/>
    <col min="43" max="43" width="3" style="1176" customWidth="1"/>
    <col min="44" max="44" width="9.140625" style="1176"/>
    <col min="45" max="45" width="2.85546875" style="1176" hidden="1" customWidth="1"/>
    <col min="46" max="72" width="0" style="1176" hidden="1" customWidth="1"/>
    <col min="73" max="73" width="2.140625" style="1176" hidden="1" customWidth="1"/>
    <col min="74" max="16384" width="9.140625" style="1176"/>
  </cols>
  <sheetData>
    <row r="4" spans="1:73" ht="12">
      <c r="A4" s="1178" t="s">
        <v>1462</v>
      </c>
      <c r="B4" s="1227" t="s">
        <v>1473</v>
      </c>
      <c r="C4" s="1223" t="str">
        <f ca="1">IF(렌터카견적내기!AQ34="대상","Y","N")</f>
        <v>N</v>
      </c>
      <c r="D4" s="1226" t="s">
        <v>1294</v>
      </c>
      <c r="E4" s="1223" t="str">
        <f>IF(OR(렌터카견적내기!BJ4=2,렌터카견적내기!BJ4=3),"Y","N")</f>
        <v>N</v>
      </c>
      <c r="F4" s="1175"/>
      <c r="G4" s="1175"/>
      <c r="I4" s="1175"/>
      <c r="L4" s="1175"/>
      <c r="P4" s="1246" t="s">
        <v>1477</v>
      </c>
      <c r="U4" s="1207"/>
      <c r="AT4" s="1246" t="s">
        <v>1478</v>
      </c>
    </row>
    <row r="5" spans="1:73" ht="12" thickBot="1">
      <c r="A5" s="1175"/>
      <c r="B5" s="1225" t="s">
        <v>369</v>
      </c>
      <c r="C5" s="1222" t="str">
        <f ca="1">렌터카견적내기!$AW$13</f>
        <v>D</v>
      </c>
      <c r="D5" s="1197" t="s">
        <v>370</v>
      </c>
      <c r="E5" s="1867">
        <f ca="1">IF(OR(C6=7,C6=8),1,IF(OR(C6=9,C6=10),2,0))</f>
        <v>0</v>
      </c>
      <c r="F5" s="1175"/>
      <c r="G5" s="1175"/>
      <c r="H5" s="1175"/>
      <c r="I5" s="1175"/>
      <c r="L5" s="1175"/>
    </row>
    <row r="6" spans="1:73" ht="12" thickBot="1">
      <c r="A6" s="1175"/>
      <c r="B6" s="1197" t="s">
        <v>371</v>
      </c>
      <c r="C6" s="1177">
        <f ca="1">렌터카견적내기!AW17</f>
        <v>5</v>
      </c>
      <c r="D6" s="1197" t="s">
        <v>372</v>
      </c>
      <c r="E6" s="1868"/>
      <c r="F6" s="1175"/>
      <c r="G6" s="1175"/>
      <c r="H6" s="1175"/>
      <c r="I6" s="1175"/>
      <c r="J6" s="1175"/>
      <c r="L6" s="1175"/>
      <c r="O6" s="1209"/>
      <c r="P6" s="1210"/>
      <c r="Q6" s="1210"/>
      <c r="R6" s="1210"/>
      <c r="S6" s="1210"/>
      <c r="T6" s="1210"/>
      <c r="U6" s="1210"/>
      <c r="V6" s="1210"/>
      <c r="W6" s="1210"/>
      <c r="X6" s="1210"/>
      <c r="Y6" s="1210"/>
      <c r="Z6" s="1210"/>
      <c r="AA6" s="1210"/>
      <c r="AB6" s="1210"/>
      <c r="AC6" s="1210"/>
      <c r="AD6" s="1210"/>
      <c r="AE6" s="1210"/>
      <c r="AF6" s="1210"/>
      <c r="AG6" s="1210"/>
      <c r="AH6" s="1210"/>
      <c r="AI6" s="1210"/>
      <c r="AJ6" s="1210"/>
      <c r="AK6" s="1210"/>
      <c r="AL6" s="1210"/>
      <c r="AM6" s="1210"/>
      <c r="AN6" s="1210"/>
      <c r="AO6" s="1210"/>
      <c r="AP6" s="1210"/>
      <c r="AQ6" s="1211"/>
      <c r="AS6" s="1209"/>
      <c r="AT6" s="1210"/>
      <c r="AU6" s="1210"/>
      <c r="AV6" s="1210"/>
      <c r="AW6" s="1210"/>
      <c r="AX6" s="1210"/>
      <c r="AY6" s="1210"/>
      <c r="AZ6" s="1210"/>
      <c r="BA6" s="1210"/>
      <c r="BB6" s="1210"/>
      <c r="BC6" s="1210"/>
      <c r="BD6" s="1210"/>
      <c r="BE6" s="1210"/>
      <c r="BF6" s="1210"/>
      <c r="BG6" s="1210"/>
      <c r="BH6" s="1210"/>
      <c r="BI6" s="1210"/>
      <c r="BJ6" s="1210"/>
      <c r="BK6" s="1210"/>
      <c r="BL6" s="1210"/>
      <c r="BM6" s="1210"/>
      <c r="BN6" s="1210"/>
      <c r="BO6" s="1210"/>
      <c r="BP6" s="1210"/>
      <c r="BQ6" s="1210"/>
      <c r="BR6" s="1210"/>
      <c r="BS6" s="1210"/>
      <c r="BT6" s="1210"/>
      <c r="BU6" s="1211"/>
    </row>
    <row r="7" spans="1:73" ht="12" thickBot="1">
      <c r="A7" s="1178"/>
      <c r="B7" s="1197" t="s">
        <v>373</v>
      </c>
      <c r="C7" s="1179">
        <f>렌터카견적내기!AT4</f>
        <v>2</v>
      </c>
      <c r="D7" s="1197" t="s">
        <v>374</v>
      </c>
      <c r="E7" s="1177">
        <f>렌터카견적내기!AQ26</f>
        <v>2</v>
      </c>
      <c r="F7" s="1175"/>
      <c r="G7" s="1175"/>
      <c r="H7" s="1175"/>
      <c r="I7" s="1175"/>
      <c r="J7" s="1175"/>
      <c r="K7" s="1175"/>
      <c r="L7" s="1175"/>
      <c r="O7" s="1212"/>
      <c r="P7" s="1847" t="s">
        <v>390</v>
      </c>
      <c r="Q7" s="1848"/>
      <c r="AQ7" s="1213"/>
      <c r="AS7" s="1212"/>
      <c r="AT7" s="1847" t="s">
        <v>390</v>
      </c>
      <c r="AU7" s="1848"/>
      <c r="BU7" s="1213"/>
    </row>
    <row r="8" spans="1:73">
      <c r="A8" s="1180" t="s">
        <v>1463</v>
      </c>
      <c r="B8" s="1178"/>
      <c r="C8" s="1178"/>
      <c r="D8" s="1178"/>
      <c r="E8" s="1178"/>
      <c r="F8" s="1178"/>
      <c r="G8" s="1178"/>
      <c r="H8" s="1180" t="s">
        <v>1464</v>
      </c>
      <c r="I8" s="1178"/>
      <c r="J8" s="1178"/>
      <c r="K8" s="1175"/>
      <c r="L8" s="1178"/>
      <c r="O8" s="1212"/>
      <c r="P8" s="1864" t="s">
        <v>1295</v>
      </c>
      <c r="Q8" s="1864"/>
      <c r="S8" s="1214"/>
      <c r="T8" s="1214"/>
      <c r="U8" s="1214"/>
      <c r="W8" s="1842" t="s">
        <v>1468</v>
      </c>
      <c r="X8" s="1842"/>
      <c r="Y8" s="1214"/>
      <c r="Z8" s="1214"/>
      <c r="AA8" s="1214"/>
      <c r="AB8" s="1214"/>
      <c r="AD8" s="1864" t="s">
        <v>1310</v>
      </c>
      <c r="AE8" s="1864"/>
      <c r="AG8" s="1214"/>
      <c r="AH8" s="1214"/>
      <c r="AI8" s="1214"/>
      <c r="AK8" s="1842" t="s">
        <v>1309</v>
      </c>
      <c r="AL8" s="1842"/>
      <c r="AM8" s="1214"/>
      <c r="AN8" s="1214"/>
      <c r="AO8" s="1214"/>
      <c r="AP8" s="1214"/>
      <c r="AQ8" s="1213"/>
      <c r="AS8" s="1212"/>
      <c r="AT8" s="1864" t="s">
        <v>1295</v>
      </c>
      <c r="AU8" s="1864"/>
      <c r="AW8" s="1214"/>
      <c r="AX8" s="1214"/>
      <c r="AY8" s="1214"/>
      <c r="BA8" s="1842" t="s">
        <v>1468</v>
      </c>
      <c r="BB8" s="1842"/>
      <c r="BC8" s="1214"/>
      <c r="BD8" s="1214"/>
      <c r="BE8" s="1214"/>
      <c r="BF8" s="1214"/>
      <c r="BH8" s="1864" t="s">
        <v>1310</v>
      </c>
      <c r="BI8" s="1864"/>
      <c r="BK8" s="1214"/>
      <c r="BL8" s="1214"/>
      <c r="BM8" s="1214"/>
      <c r="BO8" s="1842" t="s">
        <v>1309</v>
      </c>
      <c r="BP8" s="1842"/>
      <c r="BQ8" s="1214"/>
      <c r="BR8" s="1214"/>
      <c r="BS8" s="1214"/>
      <c r="BT8" s="1214"/>
      <c r="BU8" s="1213"/>
    </row>
    <row r="9" spans="1:73">
      <c r="A9" s="1869" t="s">
        <v>385</v>
      </c>
      <c r="B9" s="1869"/>
      <c r="C9" s="1869"/>
      <c r="D9" s="1181"/>
      <c r="E9" s="1181"/>
      <c r="F9" s="1181"/>
      <c r="G9" s="1175"/>
      <c r="H9" s="1869" t="s">
        <v>385</v>
      </c>
      <c r="I9" s="1869"/>
      <c r="J9" s="1869"/>
      <c r="K9" s="1175"/>
      <c r="L9" s="1175"/>
      <c r="O9" s="1212"/>
      <c r="P9" s="1843" t="s">
        <v>1297</v>
      </c>
      <c r="Q9" s="1844"/>
      <c r="R9" s="1214"/>
      <c r="S9" s="1214"/>
      <c r="T9" s="1214"/>
      <c r="U9" s="1215" t="s">
        <v>1298</v>
      </c>
      <c r="W9" s="1843" t="s">
        <v>1297</v>
      </c>
      <c r="X9" s="1844"/>
      <c r="Y9" s="1214"/>
      <c r="Z9" s="1214"/>
      <c r="AA9" s="1214"/>
      <c r="AB9" s="1215" t="s">
        <v>1298</v>
      </c>
      <c r="AD9" s="1843" t="s">
        <v>1297</v>
      </c>
      <c r="AE9" s="1844"/>
      <c r="AF9" s="1214"/>
      <c r="AG9" s="1214"/>
      <c r="AH9" s="1214"/>
      <c r="AI9" s="1215" t="s">
        <v>1298</v>
      </c>
      <c r="AK9" s="1843" t="s">
        <v>1297</v>
      </c>
      <c r="AL9" s="1844"/>
      <c r="AM9" s="1214"/>
      <c r="AN9" s="1214"/>
      <c r="AO9" s="1214"/>
      <c r="AP9" s="1215" t="s">
        <v>1298</v>
      </c>
      <c r="AQ9" s="1213"/>
      <c r="AS9" s="1212"/>
      <c r="AT9" s="1843" t="s">
        <v>1297</v>
      </c>
      <c r="AU9" s="1844"/>
      <c r="AV9" s="1214"/>
      <c r="AW9" s="1214"/>
      <c r="AX9" s="1214"/>
      <c r="AY9" s="1215" t="s">
        <v>1298</v>
      </c>
      <c r="BA9" s="1843" t="s">
        <v>1297</v>
      </c>
      <c r="BB9" s="1844"/>
      <c r="BC9" s="1214"/>
      <c r="BD9" s="1214"/>
      <c r="BE9" s="1214"/>
      <c r="BF9" s="1215" t="s">
        <v>1298</v>
      </c>
      <c r="BH9" s="1843" t="s">
        <v>1297</v>
      </c>
      <c r="BI9" s="1844"/>
      <c r="BJ9" s="1214"/>
      <c r="BK9" s="1214"/>
      <c r="BL9" s="1214"/>
      <c r="BM9" s="1215" t="s">
        <v>1298</v>
      </c>
      <c r="BO9" s="1843" t="s">
        <v>1297</v>
      </c>
      <c r="BP9" s="1844"/>
      <c r="BQ9" s="1214"/>
      <c r="BR9" s="1214"/>
      <c r="BS9" s="1214"/>
      <c r="BT9" s="1215" t="s">
        <v>1298</v>
      </c>
      <c r="BU9" s="1213"/>
    </row>
    <row r="10" spans="1:73">
      <c r="A10" s="1182" t="s">
        <v>388</v>
      </c>
      <c r="B10" s="1182" t="s">
        <v>389</v>
      </c>
      <c r="C10" s="1182" t="s">
        <v>375</v>
      </c>
      <c r="D10" s="1182" t="s">
        <v>376</v>
      </c>
      <c r="E10" s="1182" t="s">
        <v>377</v>
      </c>
      <c r="F10" s="1182" t="s">
        <v>378</v>
      </c>
      <c r="G10" s="1175"/>
      <c r="H10" s="1182" t="s">
        <v>388</v>
      </c>
      <c r="I10" s="1182" t="s">
        <v>389</v>
      </c>
      <c r="J10" s="1182" t="s">
        <v>381</v>
      </c>
      <c r="K10" s="1183" t="s">
        <v>382</v>
      </c>
      <c r="L10" s="1183" t="s">
        <v>379</v>
      </c>
      <c r="M10" s="1237" t="s">
        <v>1465</v>
      </c>
      <c r="O10" s="1212"/>
      <c r="P10" s="1198" t="s">
        <v>409</v>
      </c>
      <c r="Q10" s="1198" t="s">
        <v>410</v>
      </c>
      <c r="R10" s="1198" t="s">
        <v>375</v>
      </c>
      <c r="S10" s="1198" t="s">
        <v>411</v>
      </c>
      <c r="T10" s="1198" t="s">
        <v>1299</v>
      </c>
      <c r="U10" s="1198" t="s">
        <v>1300</v>
      </c>
      <c r="W10" s="1198" t="s">
        <v>409</v>
      </c>
      <c r="X10" s="1198" t="s">
        <v>410</v>
      </c>
      <c r="Y10" s="1198" t="s">
        <v>375</v>
      </c>
      <c r="Z10" s="1198" t="s">
        <v>411</v>
      </c>
      <c r="AA10" s="1198" t="s">
        <v>1299</v>
      </c>
      <c r="AB10" s="1198" t="s">
        <v>1300</v>
      </c>
      <c r="AD10" s="1198" t="s">
        <v>409</v>
      </c>
      <c r="AE10" s="1198" t="s">
        <v>410</v>
      </c>
      <c r="AF10" s="1198" t="s">
        <v>375</v>
      </c>
      <c r="AG10" s="1198" t="s">
        <v>411</v>
      </c>
      <c r="AH10" s="1198" t="s">
        <v>1299</v>
      </c>
      <c r="AI10" s="1198" t="s">
        <v>1300</v>
      </c>
      <c r="AK10" s="1198" t="s">
        <v>409</v>
      </c>
      <c r="AL10" s="1198" t="s">
        <v>410</v>
      </c>
      <c r="AM10" s="1198" t="s">
        <v>375</v>
      </c>
      <c r="AN10" s="1198" t="s">
        <v>411</v>
      </c>
      <c r="AO10" s="1198" t="s">
        <v>1299</v>
      </c>
      <c r="AP10" s="1198" t="s">
        <v>1300</v>
      </c>
      <c r="AQ10" s="1213"/>
      <c r="AS10" s="1212"/>
      <c r="AT10" s="1198" t="s">
        <v>409</v>
      </c>
      <c r="AU10" s="1198" t="s">
        <v>410</v>
      </c>
      <c r="AV10" s="1198" t="s">
        <v>375</v>
      </c>
      <c r="AW10" s="1198" t="s">
        <v>411</v>
      </c>
      <c r="AX10" s="1198" t="s">
        <v>1299</v>
      </c>
      <c r="AY10" s="1198" t="s">
        <v>1300</v>
      </c>
      <c r="BA10" s="1198" t="s">
        <v>409</v>
      </c>
      <c r="BB10" s="1198" t="s">
        <v>410</v>
      </c>
      <c r="BC10" s="1198" t="s">
        <v>375</v>
      </c>
      <c r="BD10" s="1198" t="s">
        <v>411</v>
      </c>
      <c r="BE10" s="1198" t="s">
        <v>1299</v>
      </c>
      <c r="BF10" s="1198" t="s">
        <v>1300</v>
      </c>
      <c r="BH10" s="1198" t="s">
        <v>409</v>
      </c>
      <c r="BI10" s="1198" t="s">
        <v>410</v>
      </c>
      <c r="BJ10" s="1198" t="s">
        <v>375</v>
      </c>
      <c r="BK10" s="1198" t="s">
        <v>411</v>
      </c>
      <c r="BL10" s="1198" t="s">
        <v>1299</v>
      </c>
      <c r="BM10" s="1198" t="s">
        <v>1300</v>
      </c>
      <c r="BO10" s="1198" t="s">
        <v>409</v>
      </c>
      <c r="BP10" s="1198" t="s">
        <v>410</v>
      </c>
      <c r="BQ10" s="1198" t="s">
        <v>375</v>
      </c>
      <c r="BR10" s="1198" t="s">
        <v>411</v>
      </c>
      <c r="BS10" s="1198" t="s">
        <v>1299</v>
      </c>
      <c r="BT10" s="1198" t="s">
        <v>1300</v>
      </c>
      <c r="BU10" s="1213"/>
    </row>
    <row r="11" spans="1:73">
      <c r="A11" s="1184" t="s">
        <v>391</v>
      </c>
      <c r="B11" s="1184" t="s">
        <v>380</v>
      </c>
      <c r="C11" s="1185">
        <f ca="1">IF(AND(INDEX(렌터카모델!$P$3:$P$200,렌터카모델!$D$2)="E",$C$7=1),AF123,IF(AND(INDEX(렌터카모델!$P$3:$P$200,렌터카모델!$D$2)="E",$C$7=2),R123,IF(AND($C$4="Y",$C$7=1),AF11,IF(AND($C$4="Y",$C$7=2),R11,IF(AND($C$7=1,$E$7=1),AM48,IF(AND($C$7=1,$E$7=2),AF48,IF(AND($C$7=2,$E$7=1),Y85,IF(AND($C$7=2,$E$7=2),R85,0))))))))</f>
        <v>132591.9</v>
      </c>
      <c r="D11" s="1185">
        <f ca="1">IF(AND(INDEX(렌터카모델!$P$3:$P$200,렌터카모델!$D$2)="E",$C$7=1),AG123,IF(AND(INDEX(렌터카모델!$P$3:$P$200,렌터카모델!$D$2)="E",$C$7=2),S123,IF(AND(렌터카견적내기!$AQ$17="승합",$C$4="Y",$C$7=1),AG11,IF(AND(렌터카견적내기!$AQ$17="승합",$C$4="Y",$C$7=2),S11,IF(AND(렌터카견적내기!$AQ$17="승합",$C$7=1,$E$7=1),AN48,IF(AND(렌터카견적내기!$AQ$17="승합",$C$7=1,$E$7=2),AG48,IF(AND(렌터카견적내기!$AQ$17="승합",$C$7=2,$E$7=1),Z85,IF(AND(렌터카견적내기!$AQ$17="승합",$C$7=2,$E$7=2),S85,0))))))))</f>
        <v>0</v>
      </c>
      <c r="E11" s="1185">
        <f ca="1">IF(AND(INDEX(렌터카모델!$P$3:$P$200,렌터카모델!$D$2)="E",$C$7=1),AH123,IF(AND(INDEX(렌터카모델!$P$3:$P$200,렌터카모델!$D$2)="E",$C$7=2),T123,IF(AND($C$4="Y",렌터카견적내기!$AQ$17="다인승",$C$7=2,$E$5=1),T11,IF(AND($C$4="Y",렌터카견적내기!$AQ$17="다인승",$C$7=1,$E$5=1),AH11,IF(AND(렌터카견적내기!$AQ$17="다인승",$C$7=1,$E$5=1,$E$7=1),AO48,IF(AND(렌터카견적내기!$AQ$17="다인승",$C$7=1,$E$5=1,$E$7=2),AH48,IF(AND(렌터카견적내기!$AQ$17="다인승",$C$7=2,$E$5=1,$E$7=1),AA85,IF(AND(렌터카견적내기!$AQ$17="다인승",$C$7=2,$E$5=1,$E$7=2),T85,0))))))))</f>
        <v>0</v>
      </c>
      <c r="F11" s="1185">
        <f ca="1">IF(AND(INDEX(렌터카모델!$P$3:$P$200,렌터카모델!$D$2)="E",$C$7=1),AI123,IF(AND(INDEX(렌터카모델!$P$3:$P$200,렌터카모델!$D$2)="E",$C$7=2),U123,IF(AND($C$4="Y",렌터카견적내기!$AQ$17="다인승",$C$7=2,$E$5=2),U11,IF(AND($C$4="Y",렌터카견적내기!$AQ$17="다인승",$C$7=1,$E$5=2),AI11,IF(AND(렌터카견적내기!$AQ$17="다인승",$C$7=1,$E$5=2,$E$7=1),AP48,IF(AND(렌터카견적내기!$AQ$17="다인승",$C$7=1,$E$5=2,$E$7=2),AI48,IF(AND(렌터카견적내기!$AQ$17="다인승",$C$7=2,$E$5=2,$E$7=1),AB85,IF(AND(렌터카견적내기!$AQ$17="다인승",$C$7=2,$E$5=2,$E$7=2),U85,0))))))))</f>
        <v>0</v>
      </c>
      <c r="G11" s="1175"/>
      <c r="H11" s="1184" t="s">
        <v>391</v>
      </c>
      <c r="I11" s="1184" t="s">
        <v>380</v>
      </c>
      <c r="J11" s="1186">
        <f ca="1">IF(AND(렌터카견적내기!$AQ$17="승용",$C$7=1,렌터카견적내기!$AW$16="E"),AF140,IF(AND(렌터카견적내기!$AQ$17="승용",$C$7=2,렌터카견적내기!$AW$16="E"),R140,IF(AND(렌터카견적내기!$AQ$17="승용",$C$7=1),AF28,R28)))</f>
        <v>296420</v>
      </c>
      <c r="K11" s="1186">
        <f ca="1">IF(AND(렌터카견적내기!$AQ$17="승합",$C$7=1,렌터카견적내기!$AW$16="E"),AG140,IF(AND(렌터카견적내기!$AQ$17="승합",$C$7=2,렌터카견적내기!$AW$16="E"),S140,IF(AND(렌터카견적내기!$AQ$17="승합",$C$7=1),AG28,S28)))</f>
        <v>284540</v>
      </c>
      <c r="L11" s="1186">
        <f ca="1">IF(AND(렌터카견적내기!$AQ$17="다인승",$C$7=1,렌터카견적내기!$AW$16="E",$E$5=1),AH140,IF(AND(렌터카견적내기!$AQ$17="다인승",$C$7=2,렌터카견적내기!$AW$16="E",$E$5=1),T140,IF(AND(렌터카견적내기!$AQ$17="다인승",$C$7=1,$E$5=1),AH28,T28)))</f>
        <v>219650</v>
      </c>
      <c r="M11" s="1238">
        <f ca="1">IF(AND(렌터카견적내기!$AQ$17="다인승",$C$7=1,렌터카견적내기!$AW$16="E",$E$5=2),AI140,IF(AND(렌터카견적내기!$AQ$17="다인승",$C$7=2,렌터카견적내기!$AW$16="E",$E$5=2),U140,IF(AND(렌터카견적내기!$AQ$17="다인승",$C$7=1,$E$5=2),AI28,U28)))</f>
        <v>219650</v>
      </c>
      <c r="O11" s="1212"/>
      <c r="P11" s="1199" t="s">
        <v>1301</v>
      </c>
      <c r="Q11" s="1199" t="s">
        <v>1302</v>
      </c>
      <c r="R11" s="1200">
        <v>209250</v>
      </c>
      <c r="S11" s="1200">
        <v>203440</v>
      </c>
      <c r="T11" s="1200">
        <v>169240</v>
      </c>
      <c r="U11" s="1200">
        <v>169240</v>
      </c>
      <c r="W11" s="1199" t="s">
        <v>1301</v>
      </c>
      <c r="X11" s="1199" t="s">
        <v>1302</v>
      </c>
      <c r="Y11" s="1200">
        <v>207450</v>
      </c>
      <c r="Z11" s="1200">
        <v>201680</v>
      </c>
      <c r="AA11" s="1200">
        <v>167780</v>
      </c>
      <c r="AB11" s="1200">
        <v>167780</v>
      </c>
      <c r="AD11" s="1199" t="s">
        <v>1301</v>
      </c>
      <c r="AE11" s="1199" t="s">
        <v>1302</v>
      </c>
      <c r="AF11" s="1200">
        <v>193500</v>
      </c>
      <c r="AG11" s="1200">
        <v>187160</v>
      </c>
      <c r="AH11" s="1200">
        <v>162040</v>
      </c>
      <c r="AI11" s="1200">
        <v>162040</v>
      </c>
      <c r="AK11" s="1199" t="s">
        <v>1301</v>
      </c>
      <c r="AL11" s="1199" t="s">
        <v>1302</v>
      </c>
      <c r="AM11" s="1200">
        <v>191830</v>
      </c>
      <c r="AN11" s="1200">
        <v>185550</v>
      </c>
      <c r="AO11" s="1200">
        <v>160640</v>
      </c>
      <c r="AP11" s="1200">
        <v>160640</v>
      </c>
      <c r="AQ11" s="1213"/>
      <c r="AS11" s="1212"/>
      <c r="AT11" s="1199" t="s">
        <v>1301</v>
      </c>
      <c r="AU11" s="1199" t="s">
        <v>1302</v>
      </c>
      <c r="AV11" s="1200">
        <v>209250</v>
      </c>
      <c r="AW11" s="1200">
        <v>203440</v>
      </c>
      <c r="AX11" s="1200">
        <v>169240</v>
      </c>
      <c r="AY11" s="1200">
        <v>169240</v>
      </c>
      <c r="BA11" s="1199" t="s">
        <v>1301</v>
      </c>
      <c r="BB11" s="1199" t="s">
        <v>1302</v>
      </c>
      <c r="BC11" s="1200">
        <v>207450</v>
      </c>
      <c r="BD11" s="1200">
        <v>201680</v>
      </c>
      <c r="BE11" s="1200">
        <v>167780</v>
      </c>
      <c r="BF11" s="1200">
        <v>167780</v>
      </c>
      <c r="BH11" s="1199" t="s">
        <v>1301</v>
      </c>
      <c r="BI11" s="1199" t="s">
        <v>1302</v>
      </c>
      <c r="BJ11" s="1200">
        <v>193500</v>
      </c>
      <c r="BK11" s="1200">
        <v>187160</v>
      </c>
      <c r="BL11" s="1200">
        <v>162040</v>
      </c>
      <c r="BM11" s="1200">
        <v>162040</v>
      </c>
      <c r="BO11" s="1199" t="s">
        <v>1301</v>
      </c>
      <c r="BP11" s="1199" t="s">
        <v>1302</v>
      </c>
      <c r="BQ11" s="1200">
        <v>191830</v>
      </c>
      <c r="BR11" s="1200">
        <v>185550</v>
      </c>
      <c r="BS11" s="1200">
        <v>160640</v>
      </c>
      <c r="BT11" s="1200">
        <v>160640</v>
      </c>
      <c r="BU11" s="1213"/>
    </row>
    <row r="12" spans="1:73">
      <c r="A12" s="1221" t="s">
        <v>394</v>
      </c>
      <c r="B12" s="1221" t="s">
        <v>395</v>
      </c>
      <c r="C12" s="1185">
        <f ca="1">IF(AND(INDEX(렌터카모델!$P$3:$P$200,렌터카모델!$D$2)="E",$C$7=1),AF124,IF(AND(INDEX(렌터카모델!$P$3:$P$200,렌터카모델!$D$2)="E",$C$7=2),R124,IF(AND($C$4="Y",$C$7=1),AF12,IF(AND($C$4="Y",$C$7=2),R12,IF(AND($C$7=1,$E$7=1),AM49,IF(AND($C$7=1,$E$7=2),AF49,IF(AND($C$7=2,$E$7=1),Y86,IF(AND($C$7=2,$E$7=2),R86,0))))))))</f>
        <v>196833</v>
      </c>
      <c r="D12" s="1185">
        <f ca="1">IF(AND(INDEX(렌터카모델!$P$3:$P$200,렌터카모델!$D$2)="E",$C$7=1),AG124,IF(AND(INDEX(렌터카모델!$P$3:$P$200,렌터카모델!$D$2)="E",$C$7=2),S124,IF(AND(렌터카견적내기!$AQ$17="승합",$C$4="Y",$C$7=1),AG12,IF(AND(렌터카견적내기!$AQ$17="승합",$C$4="Y",$C$7=2),S12,IF(AND(렌터카견적내기!$AQ$17="승합",$C$7=1,$E$7=1),AN49,IF(AND(렌터카견적내기!$AQ$17="승합",$C$7=1,$E$7=2),AG49,IF(AND(렌터카견적내기!$AQ$17="승합",$C$7=2,$E$7=1),Z86,IF(AND(렌터카견적내기!$AQ$17="승합",$C$7=2,$E$7=2),S86,0))))))))</f>
        <v>0</v>
      </c>
      <c r="E12" s="1185">
        <f ca="1">IF(AND(INDEX(렌터카모델!$P$3:$P$200,렌터카모델!$D$2)="E",$C$7=1),AH124,IF(AND(INDEX(렌터카모델!$P$3:$P$200,렌터카모델!$D$2)="E",$C$7=2),T124,IF(AND($C$4="Y",렌터카견적내기!$AQ$17="다인승",$C$7=2,$E$5=1),T12,IF(AND($C$4="Y",렌터카견적내기!$AQ$17="다인승",$C$7=1,$E$5=1),AH12,IF(AND(렌터카견적내기!$AQ$17="다인승",$C$7=1,$E$5=1,$E$7=1),AO49,IF(AND(렌터카견적내기!$AQ$17="다인승",$C$7=1,$E$5=1,$E$7=2),AH49,IF(AND(렌터카견적내기!$AQ$17="다인승",$C$7=2,$E$5=1,$E$7=1),AA86,IF(AND(렌터카견적내기!$AQ$17="다인승",$C$7=2,$E$5=1,$E$7=2),T86,0))))))))</f>
        <v>0</v>
      </c>
      <c r="F12" s="1185">
        <f ca="1">IF(AND(INDEX(렌터카모델!$P$3:$P$200,렌터카모델!$D$2)="E",$C$7=1),AI124,IF(AND(INDEX(렌터카모델!$P$3:$P$200,렌터카모델!$D$2)="E",$C$7=2),U124,IF(AND($C$4="Y",렌터카견적내기!$AQ$17="다인승",$C$7=2,$E$5=2),U12,IF(AND($C$4="Y",렌터카견적내기!$AQ$17="다인승",$C$7=1,$E$5=2),AI12,IF(AND(렌터카견적내기!$AQ$17="다인승",$C$7=1,$E$5=2,$E$7=1),AP49,IF(AND(렌터카견적내기!$AQ$17="다인승",$C$7=1,$E$5=2,$E$7=2),AI49,IF(AND(렌터카견적내기!$AQ$17="다인승",$C$7=2,$E$5=2,$E$7=1),AB86,IF(AND(렌터카견적내기!$AQ$17="다인승",$C$7=2,$E$5=2,$E$7=2),U86,0))))))))</f>
        <v>0</v>
      </c>
      <c r="G12" s="1175"/>
      <c r="H12" s="1221" t="s">
        <v>394</v>
      </c>
      <c r="I12" s="1221" t="s">
        <v>395</v>
      </c>
      <c r="J12" s="1186">
        <f ca="1">IF(AND(렌터카견적내기!$AQ$17="승용",$C$7=1,렌터카견적내기!$AW$16="E"),AF141,IF(AND(렌터카견적내기!$AQ$17="승용",$C$7=2,렌터카견적내기!$AW$16="E"),R141,IF(AND(렌터카견적내기!$AQ$17="승용",$C$7=1),AF29,R29)))</f>
        <v>237130</v>
      </c>
      <c r="K12" s="1186">
        <f ca="1">IF(AND(렌터카견적내기!$AQ$17="승합",$C$7=1,렌터카견적내기!$AW$16="E"),AG141,IF(AND(렌터카견적내기!$AQ$17="승합",$C$7=2,렌터카견적내기!$AW$16="E"),S141,IF(AND(렌터카견적내기!$AQ$17="승합",$C$7=1),AG29,S29)))</f>
        <v>293960</v>
      </c>
      <c r="L12" s="1186">
        <f ca="1">IF(AND(렌터카견적내기!$AQ$17="다인승",$C$7=1,렌터카견적내기!$AW$16="E",$E$5=1),AH141,IF(AND(렌터카견적내기!$AQ$17="다인승",$C$7=2,렌터카견적내기!$AW$16="E",$E$5=1),T141,IF(AND(렌터카견적내기!$AQ$17="다인승",$C$7=1,$E$5=1),AH29,T29)))</f>
        <v>208680</v>
      </c>
      <c r="M12" s="1238">
        <f ca="1">IF(AND(렌터카견적내기!$AQ$17="다인승",$C$7=1,렌터카견적내기!$AW$16="E",$E$5=2),AI141,IF(AND(렌터카견적내기!$AQ$17="다인승",$C$7=2,렌터카견적내기!$AW$16="E",$E$5=2),U141,IF(AND(렌터카견적내기!$AQ$17="다인승",$C$7=1,$E$5=2),AI29,U29)))</f>
        <v>208680</v>
      </c>
      <c r="O12" s="1212"/>
      <c r="P12" s="1199" t="s">
        <v>1303</v>
      </c>
      <c r="Q12" s="1199" t="s">
        <v>412</v>
      </c>
      <c r="R12" s="1200">
        <v>126230</v>
      </c>
      <c r="S12" s="1200">
        <v>149950</v>
      </c>
      <c r="T12" s="1200">
        <v>97010</v>
      </c>
      <c r="U12" s="1200">
        <v>97010</v>
      </c>
      <c r="W12" s="1199" t="s">
        <v>1303</v>
      </c>
      <c r="X12" s="1199" t="s">
        <v>412</v>
      </c>
      <c r="Y12" s="1200">
        <v>125140</v>
      </c>
      <c r="Z12" s="1200">
        <v>148660</v>
      </c>
      <c r="AA12" s="1200">
        <v>96180</v>
      </c>
      <c r="AB12" s="1200">
        <v>96180</v>
      </c>
      <c r="AD12" s="1199" t="s">
        <v>1303</v>
      </c>
      <c r="AE12" s="1199" t="s">
        <v>412</v>
      </c>
      <c r="AF12" s="1200">
        <v>116740</v>
      </c>
      <c r="AG12" s="1200">
        <v>137950</v>
      </c>
      <c r="AH12" s="1200">
        <v>92810</v>
      </c>
      <c r="AI12" s="1200">
        <v>92810</v>
      </c>
      <c r="AK12" s="1199" t="s">
        <v>1303</v>
      </c>
      <c r="AL12" s="1199" t="s">
        <v>412</v>
      </c>
      <c r="AM12" s="1200">
        <v>115730</v>
      </c>
      <c r="AN12" s="1200">
        <v>136760</v>
      </c>
      <c r="AO12" s="1200">
        <v>92010</v>
      </c>
      <c r="AP12" s="1200">
        <v>92010</v>
      </c>
      <c r="AQ12" s="1213"/>
      <c r="AS12" s="1212"/>
      <c r="AT12" s="1199" t="s">
        <v>1303</v>
      </c>
      <c r="AU12" s="1199" t="s">
        <v>412</v>
      </c>
      <c r="AV12" s="1200">
        <v>126230</v>
      </c>
      <c r="AW12" s="1200">
        <v>149950</v>
      </c>
      <c r="AX12" s="1200">
        <v>97010</v>
      </c>
      <c r="AY12" s="1200">
        <v>97010</v>
      </c>
      <c r="BA12" s="1199" t="s">
        <v>1303</v>
      </c>
      <c r="BB12" s="1199" t="s">
        <v>412</v>
      </c>
      <c r="BC12" s="1200">
        <v>125140</v>
      </c>
      <c r="BD12" s="1200">
        <v>148660</v>
      </c>
      <c r="BE12" s="1200">
        <v>96180</v>
      </c>
      <c r="BF12" s="1200">
        <v>96180</v>
      </c>
      <c r="BH12" s="1199" t="s">
        <v>1303</v>
      </c>
      <c r="BI12" s="1199" t="s">
        <v>412</v>
      </c>
      <c r="BJ12" s="1200">
        <v>116740</v>
      </c>
      <c r="BK12" s="1200">
        <v>137950</v>
      </c>
      <c r="BL12" s="1200">
        <v>92810</v>
      </c>
      <c r="BM12" s="1200">
        <v>92810</v>
      </c>
      <c r="BO12" s="1199" t="s">
        <v>1303</v>
      </c>
      <c r="BP12" s="1199" t="s">
        <v>412</v>
      </c>
      <c r="BQ12" s="1200">
        <v>115730</v>
      </c>
      <c r="BR12" s="1200">
        <v>136760</v>
      </c>
      <c r="BS12" s="1200">
        <v>92010</v>
      </c>
      <c r="BT12" s="1200">
        <v>92010</v>
      </c>
      <c r="BU12" s="1213"/>
    </row>
    <row r="13" spans="1:73">
      <c r="A13" s="1870" t="s">
        <v>255</v>
      </c>
      <c r="B13" s="1187" t="s">
        <v>398</v>
      </c>
      <c r="C13" s="1185">
        <f ca="1">IF(AND(INDEX(렌터카모델!$P$3:$P$200,렌터카모델!$D$2)="E",$C$7=1),AF125,IF(AND(INDEX(렌터카모델!$P$3:$P$200,렌터카모델!$D$2)="E",$C$7=2),R125,IF(AND($C$4="Y",$C$7=1),AF13,IF(AND($C$4="Y",$C$7=2),R13,IF(AND($C$7=1,$E$7=1),AM50,IF(AND($C$7=1,$E$7=2),AF50,IF(AND($C$7=2,$E$7=1),Y87,IF(AND($C$7=2,$E$7=2),R87,0))))))))</f>
        <v>305261.10000000003</v>
      </c>
      <c r="D13" s="1185">
        <f ca="1">IF(AND(INDEX(렌터카모델!$P$3:$P$200,렌터카모델!$D$2)="E",$C$7=1),AG125,IF(AND(INDEX(렌터카모델!$P$3:$P$200,렌터카모델!$D$2)="E",$C$7=2),S125,IF(AND(렌터카견적내기!$AQ$17="승합",$C$4="Y",$C$7=1),AG13,IF(AND(렌터카견적내기!$AQ$17="승합",$C$4="Y",$C$7=2),S13,IF(AND(렌터카견적내기!$AQ$17="승합",$C$7=1,$E$7=1),AN50,IF(AND(렌터카견적내기!$AQ$17="승합",$C$7=1,$E$7=2),AG50,IF(AND(렌터카견적내기!$AQ$17="승합",$C$7=2,$E$7=1),Z87,IF(AND(렌터카견적내기!$AQ$17="승합",$C$7=2,$E$7=2),S87,0))))))))</f>
        <v>0</v>
      </c>
      <c r="E13" s="1185">
        <f ca="1">IF(AND(INDEX(렌터카모델!$P$3:$P$200,렌터카모델!$D$2)="E",$C$7=1),AH125,IF(AND(INDEX(렌터카모델!$P$3:$P$200,렌터카모델!$D$2)="E",$C$7=2),T125,IF(AND($C$4="Y",렌터카견적내기!$AQ$17="다인승",$C$7=2,$E$5=1),T13,IF(AND($C$4="Y",렌터카견적내기!$AQ$17="다인승",$C$7=1,$E$5=1),AH13,IF(AND(렌터카견적내기!$AQ$17="다인승",$C$7=1,$E$5=1,$E$7=1),AO50,IF(AND(렌터카견적내기!$AQ$17="다인승",$C$7=1,$E$5=1,$E$7=2),AH50,IF(AND(렌터카견적내기!$AQ$17="다인승",$C$7=2,$E$5=1,$E$7=1),AA87,IF(AND(렌터카견적내기!$AQ$17="다인승",$C$7=2,$E$5=1,$E$7=2),T87,0))))))))</f>
        <v>0</v>
      </c>
      <c r="F13" s="1185">
        <f ca="1">IF(AND(INDEX(렌터카모델!$P$3:$P$200,렌터카모델!$D$2)="E",$C$7=1),AI125,IF(AND(INDEX(렌터카모델!$P$3:$P$200,렌터카모델!$D$2)="E",$C$7=2),U125,IF(AND($C$4="Y",렌터카견적내기!$AQ$17="다인승",$C$7=2,$E$5=2),U13,IF(AND($C$4="Y",렌터카견적내기!$AQ$17="다인승",$C$7=1,$E$5=2),AI13,IF(AND(렌터카견적내기!$AQ$17="다인승",$C$7=1,$E$5=2,$E$7=1),AP50,IF(AND(렌터카견적내기!$AQ$17="다인승",$C$7=1,$E$5=2,$E$7=2),AI50,IF(AND(렌터카견적내기!$AQ$17="다인승",$C$7=2,$E$5=2,$E$7=1),AB87,IF(AND(렌터카견적내기!$AQ$17="다인승",$C$7=2,$E$5=2,$E$7=2),U87,0))))))))</f>
        <v>0</v>
      </c>
      <c r="G13" s="1175"/>
      <c r="H13" s="1870" t="s">
        <v>255</v>
      </c>
      <c r="I13" s="1187" t="s">
        <v>398</v>
      </c>
      <c r="J13" s="1186">
        <f ca="1">IF(AND(렌터카견적내기!$AQ$17="승용",$C$7=1,렌터카견적내기!$AW$16="E"),AF142,IF(AND(렌터카견적내기!$AQ$17="승용",$C$7=2,렌터카견적내기!$AW$16="E"),R142,IF(AND(렌터카견적내기!$AQ$17="승용",$C$7=1),AF30,R30)))</f>
        <v>524650</v>
      </c>
      <c r="K13" s="1186">
        <f ca="1">IF(AND(렌터카견적내기!$AQ$17="승합",$C$7=1,렌터카견적내기!$AW$16="E"),AG142,IF(AND(렌터카견적내기!$AQ$17="승합",$C$7=2,렌터카견적내기!$AW$16="E"),S142,IF(AND(렌터카견적내기!$AQ$17="승합",$C$7=1),AG30,S30)))</f>
        <v>474600</v>
      </c>
      <c r="L13" s="1186">
        <f ca="1">IF(AND(렌터카견적내기!$AQ$17="다인승",$C$7=1,렌터카견적내기!$AW$16="E",$E$5=1),AH142,IF(AND(렌터카견적내기!$AQ$17="다인승",$C$7=2,렌터카견적내기!$AW$16="E",$E$5=1),T142,IF(AND(렌터카견적내기!$AQ$17="다인승",$C$7=1,$E$5=1),AH30,T30)))</f>
        <v>509920</v>
      </c>
      <c r="M13" s="1238">
        <f ca="1">IF(AND(렌터카견적내기!$AQ$17="다인승",$C$7=1,렌터카견적내기!$AW$16="E",$E$5=2),AI142,IF(AND(렌터카견적내기!$AQ$17="다인승",$C$7=2,렌터카견적내기!$AW$16="E",$E$5=2),U142,IF(AND(렌터카견적내기!$AQ$17="다인승",$C$7=1,$E$5=2),AI30,U30)))</f>
        <v>509920</v>
      </c>
      <c r="O13" s="1212"/>
      <c r="P13" s="1859" t="s">
        <v>255</v>
      </c>
      <c r="Q13" s="1199" t="s">
        <v>413</v>
      </c>
      <c r="R13" s="1200">
        <v>226070</v>
      </c>
      <c r="S13" s="1200">
        <v>202020</v>
      </c>
      <c r="T13" s="1200">
        <v>216600</v>
      </c>
      <c r="U13" s="1200">
        <v>216600</v>
      </c>
      <c r="W13" s="1859" t="s">
        <v>255</v>
      </c>
      <c r="X13" s="1199" t="s">
        <v>413</v>
      </c>
      <c r="Y13" s="1200">
        <v>224120</v>
      </c>
      <c r="Z13" s="1200">
        <v>200270</v>
      </c>
      <c r="AA13" s="1200">
        <v>214730</v>
      </c>
      <c r="AB13" s="1200">
        <v>214730</v>
      </c>
      <c r="AD13" s="1859" t="s">
        <v>255</v>
      </c>
      <c r="AE13" s="1199" t="s">
        <v>413</v>
      </c>
      <c r="AF13" s="1200">
        <v>209080</v>
      </c>
      <c r="AG13" s="1200">
        <v>185790</v>
      </c>
      <c r="AH13" s="1200">
        <v>207300</v>
      </c>
      <c r="AI13" s="1200">
        <v>207300</v>
      </c>
      <c r="AK13" s="1859" t="s">
        <v>255</v>
      </c>
      <c r="AL13" s="1199" t="s">
        <v>413</v>
      </c>
      <c r="AM13" s="1200">
        <v>207290</v>
      </c>
      <c r="AN13" s="1200">
        <v>184180</v>
      </c>
      <c r="AO13" s="1200">
        <v>205500</v>
      </c>
      <c r="AP13" s="1200">
        <v>205500</v>
      </c>
      <c r="AQ13" s="1213"/>
      <c r="AS13" s="1212"/>
      <c r="AT13" s="1859" t="s">
        <v>255</v>
      </c>
      <c r="AU13" s="1199" t="s">
        <v>413</v>
      </c>
      <c r="AV13" s="1200">
        <v>226070</v>
      </c>
      <c r="AW13" s="1200">
        <v>202020</v>
      </c>
      <c r="AX13" s="1200">
        <v>216600</v>
      </c>
      <c r="AY13" s="1200">
        <v>216600</v>
      </c>
      <c r="BA13" s="1859" t="s">
        <v>255</v>
      </c>
      <c r="BB13" s="1199" t="s">
        <v>413</v>
      </c>
      <c r="BC13" s="1200">
        <v>224120</v>
      </c>
      <c r="BD13" s="1200">
        <v>200270</v>
      </c>
      <c r="BE13" s="1200">
        <v>214730</v>
      </c>
      <c r="BF13" s="1200">
        <v>214730</v>
      </c>
      <c r="BH13" s="1859" t="s">
        <v>255</v>
      </c>
      <c r="BI13" s="1199" t="s">
        <v>413</v>
      </c>
      <c r="BJ13" s="1200">
        <v>209080</v>
      </c>
      <c r="BK13" s="1200">
        <v>185790</v>
      </c>
      <c r="BL13" s="1200">
        <v>207300</v>
      </c>
      <c r="BM13" s="1200">
        <v>207300</v>
      </c>
      <c r="BO13" s="1859" t="s">
        <v>255</v>
      </c>
      <c r="BP13" s="1199" t="s">
        <v>413</v>
      </c>
      <c r="BQ13" s="1200">
        <v>207290</v>
      </c>
      <c r="BR13" s="1200">
        <v>184180</v>
      </c>
      <c r="BS13" s="1200">
        <v>205500</v>
      </c>
      <c r="BT13" s="1200">
        <v>205500</v>
      </c>
      <c r="BU13" s="1213"/>
    </row>
    <row r="14" spans="1:73">
      <c r="A14" s="1870"/>
      <c r="B14" s="1187" t="s">
        <v>399</v>
      </c>
      <c r="C14" s="1185">
        <f ca="1">IF(AND(INDEX(렌터카모델!$P$3:$P$200,렌터카모델!$D$2)="E",$C$7=1),AF126,IF(AND(INDEX(렌터카모델!$P$3:$P$200,렌터카모델!$D$2)="E",$C$7=2),R126,IF(AND($C$4="Y",$C$7=1),AF14,IF(AND($C$4="Y",$C$7=2),R14,IF(AND($C$7=1,$E$7=1),AM51,IF(AND($C$7=1,$E$7=2),AF51,IF(AND($C$7=2,$E$7=1),Y88,IF(AND($C$7=2,$E$7=2),R88,0))))))))</f>
        <v>312326.90000000002</v>
      </c>
      <c r="D14" s="1185">
        <f ca="1">IF(AND(INDEX(렌터카모델!$P$3:$P$200,렌터카모델!$D$2)="E",$C$7=1),AG126,IF(AND(INDEX(렌터카모델!$P$3:$P$200,렌터카모델!$D$2)="E",$C$7=2),S126,IF(AND(렌터카견적내기!$AQ$17="승합",$C$4="Y",$C$7=1),AG14,IF(AND(렌터카견적내기!$AQ$17="승합",$C$4="Y",$C$7=2),S14,IF(AND(렌터카견적내기!$AQ$17="승합",$C$7=1,$E$7=1),AN51,IF(AND(렌터카견적내기!$AQ$17="승합",$C$7=1,$E$7=2),AG51,IF(AND(렌터카견적내기!$AQ$17="승합",$C$7=2,$E$7=1),Z88,IF(AND(렌터카견적내기!$AQ$17="승합",$C$7=2,$E$7=2),S88,0))))))))</f>
        <v>0</v>
      </c>
      <c r="E14" s="1185">
        <f ca="1">IF(AND(INDEX(렌터카모델!$P$3:$P$200,렌터카모델!$D$2)="E",$C$7=1),AH126,IF(AND(INDEX(렌터카모델!$P$3:$P$200,렌터카모델!$D$2)="E",$C$7=2),T126,IF(AND($C$4="Y",렌터카견적내기!$AQ$17="다인승",$C$7=2,$E$5=1),T14,IF(AND($C$4="Y",렌터카견적내기!$AQ$17="다인승",$C$7=1,$E$5=1),AH14,IF(AND(렌터카견적내기!$AQ$17="다인승",$C$7=1,$E$5=1,$E$7=1),AO51,IF(AND(렌터카견적내기!$AQ$17="다인승",$C$7=1,$E$5=1,$E$7=2),AH51,IF(AND(렌터카견적내기!$AQ$17="다인승",$C$7=2,$E$5=1,$E$7=1),AA88,IF(AND(렌터카견적내기!$AQ$17="다인승",$C$7=2,$E$5=1,$E$7=2),T88,0))))))))</f>
        <v>0</v>
      </c>
      <c r="F14" s="1185">
        <f ca="1">IF(AND(INDEX(렌터카모델!$P$3:$P$200,렌터카모델!$D$2)="E",$C$7=1),AI126,IF(AND(INDEX(렌터카모델!$P$3:$P$200,렌터카모델!$D$2)="E",$C$7=2),U126,IF(AND($C$4="Y",렌터카견적내기!$AQ$17="다인승",$C$7=2,$E$5=2),U14,IF(AND($C$4="Y",렌터카견적내기!$AQ$17="다인승",$C$7=1,$E$5=2),AI14,IF(AND(렌터카견적내기!$AQ$17="다인승",$C$7=1,$E$5=2,$E$7=1),AP51,IF(AND(렌터카견적내기!$AQ$17="다인승",$C$7=1,$E$5=2,$E$7=2),AI51,IF(AND(렌터카견적내기!$AQ$17="다인승",$C$7=2,$E$5=2,$E$7=1),AB88,IF(AND(렌터카견적내기!$AQ$17="다인승",$C$7=2,$E$5=2,$E$7=2),U88,0))))))))</f>
        <v>0</v>
      </c>
      <c r="G14" s="1175"/>
      <c r="H14" s="1870"/>
      <c r="I14" s="1187" t="s">
        <v>399</v>
      </c>
      <c r="J14" s="1186">
        <f ca="1">IF(AND(렌터카견적내기!$AQ$17="승용",$C$7=1,렌터카견적내기!$AW$16="E"),AF143,IF(AND(렌터카견적내기!$AQ$17="승용",$C$7=2,렌터카견적내기!$AW$16="E"),R143,IF(AND(렌터카견적내기!$AQ$17="승용",$C$7=1),AF31,R31)))</f>
        <v>548760</v>
      </c>
      <c r="K14" s="1186">
        <f ca="1">IF(AND(렌터카견적내기!$AQ$17="승합",$C$7=1,렌터카견적내기!$AW$16="E"),AG143,IF(AND(렌터카견적내기!$AQ$17="승합",$C$7=2,렌터카견적내기!$AW$16="E"),S143,IF(AND(렌터카견적내기!$AQ$17="승합",$C$7=1),AG31,S31)))</f>
        <v>496410</v>
      </c>
      <c r="L14" s="1186">
        <f ca="1">IF(AND(렌터카견적내기!$AQ$17="다인승",$C$7=1,렌터카견적내기!$AW$16="E",$E$5=1),AH143,IF(AND(렌터카견적내기!$AQ$17="다인승",$C$7=2,렌터카견적내기!$AW$16="E",$E$5=1),T143,IF(AND(렌터카견적내기!$AQ$17="다인승",$C$7=1,$E$5=1),AH31,T31)))</f>
        <v>533360</v>
      </c>
      <c r="M14" s="1238">
        <f ca="1">IF(AND(렌터카견적내기!$AQ$17="다인승",$C$7=1,렌터카견적내기!$AW$16="E",$E$5=2),AI143,IF(AND(렌터카견적내기!$AQ$17="다인승",$C$7=2,렌터카견적내기!$AW$16="E",$E$5=2),U143,IF(AND(렌터카견적내기!$AQ$17="다인승",$C$7=1,$E$5=2),AI31,U31)))</f>
        <v>533360</v>
      </c>
      <c r="O14" s="1212"/>
      <c r="P14" s="1861"/>
      <c r="Q14" s="1199" t="s">
        <v>414</v>
      </c>
      <c r="R14" s="1200">
        <v>236460</v>
      </c>
      <c r="S14" s="1200">
        <v>211310</v>
      </c>
      <c r="T14" s="1200">
        <v>226560</v>
      </c>
      <c r="U14" s="1200">
        <v>226560</v>
      </c>
      <c r="W14" s="1861"/>
      <c r="X14" s="1199" t="s">
        <v>414</v>
      </c>
      <c r="Y14" s="1200">
        <v>234420</v>
      </c>
      <c r="Z14" s="1200">
        <v>209480</v>
      </c>
      <c r="AA14" s="1200">
        <v>224600</v>
      </c>
      <c r="AB14" s="1200">
        <v>224600</v>
      </c>
      <c r="AD14" s="1861"/>
      <c r="AE14" s="1199" t="s">
        <v>414</v>
      </c>
      <c r="AF14" s="1200">
        <v>218690</v>
      </c>
      <c r="AG14" s="1200">
        <v>194330</v>
      </c>
      <c r="AH14" s="1200">
        <v>216830</v>
      </c>
      <c r="AI14" s="1200">
        <v>216830</v>
      </c>
      <c r="AK14" s="1861"/>
      <c r="AL14" s="1199" t="s">
        <v>414</v>
      </c>
      <c r="AM14" s="1200">
        <v>216810</v>
      </c>
      <c r="AN14" s="1200">
        <v>192640</v>
      </c>
      <c r="AO14" s="1200">
        <v>214950</v>
      </c>
      <c r="AP14" s="1200">
        <v>214950</v>
      </c>
      <c r="AQ14" s="1213"/>
      <c r="AS14" s="1212"/>
      <c r="AT14" s="1861"/>
      <c r="AU14" s="1199" t="s">
        <v>414</v>
      </c>
      <c r="AV14" s="1200">
        <v>236460</v>
      </c>
      <c r="AW14" s="1200">
        <v>211310</v>
      </c>
      <c r="AX14" s="1200">
        <v>226560</v>
      </c>
      <c r="AY14" s="1200">
        <v>226560</v>
      </c>
      <c r="BA14" s="1861"/>
      <c r="BB14" s="1199" t="s">
        <v>414</v>
      </c>
      <c r="BC14" s="1200">
        <v>234420</v>
      </c>
      <c r="BD14" s="1200">
        <v>209480</v>
      </c>
      <c r="BE14" s="1200">
        <v>224600</v>
      </c>
      <c r="BF14" s="1200">
        <v>224600</v>
      </c>
      <c r="BH14" s="1861"/>
      <c r="BI14" s="1199" t="s">
        <v>414</v>
      </c>
      <c r="BJ14" s="1200">
        <v>218690</v>
      </c>
      <c r="BK14" s="1200">
        <v>194330</v>
      </c>
      <c r="BL14" s="1200">
        <v>216830</v>
      </c>
      <c r="BM14" s="1200">
        <v>216830</v>
      </c>
      <c r="BO14" s="1861"/>
      <c r="BP14" s="1199" t="s">
        <v>414</v>
      </c>
      <c r="BQ14" s="1200">
        <v>216810</v>
      </c>
      <c r="BR14" s="1200">
        <v>192640</v>
      </c>
      <c r="BS14" s="1200">
        <v>214950</v>
      </c>
      <c r="BT14" s="1200">
        <v>214950</v>
      </c>
      <c r="BU14" s="1213"/>
    </row>
    <row r="15" spans="1:73">
      <c r="A15" s="1870"/>
      <c r="B15" s="1187" t="s">
        <v>400</v>
      </c>
      <c r="C15" s="1185">
        <f ca="1">IF(AND(INDEX(렌터카모델!$P$3:$P$200,렌터카모델!$D$2)="E",$C$7=1),AF127,IF(AND(INDEX(렌터카모델!$P$3:$P$200,렌터카모델!$D$2)="E",$C$7=2),R127,IF(AND($C$4="Y",$C$7=1),AF15,IF(AND($C$4="Y",$C$7=2),R15,IF(AND($C$7=1,$E$7=1),AM52,IF(AND($C$7=1,$E$7=2),AF52,IF(AND($C$7=2,$E$7=1),Y89,IF(AND($C$7=2,$E$7=2),R89,0))))))))</f>
        <v>323069.8</v>
      </c>
      <c r="D15" s="1185">
        <f ca="1">IF(AND(INDEX(렌터카모델!$P$3:$P$200,렌터카모델!$D$2)="E",$C$7=1),AG127,IF(AND(INDEX(렌터카모델!$P$3:$P$200,렌터카모델!$D$2)="E",$C$7=2),S127,IF(AND(렌터카견적내기!$AQ$17="승합",$C$4="Y",$C$7=1),AG15,IF(AND(렌터카견적내기!$AQ$17="승합",$C$4="Y",$C$7=2),S15,IF(AND(렌터카견적내기!$AQ$17="승합",$C$7=1,$E$7=1),AN52,IF(AND(렌터카견적내기!$AQ$17="승합",$C$7=1,$E$7=2),AG52,IF(AND(렌터카견적내기!$AQ$17="승합",$C$7=2,$E$7=1),Z89,IF(AND(렌터카견적내기!$AQ$17="승합",$C$7=2,$E$7=2),S89,0))))))))</f>
        <v>0</v>
      </c>
      <c r="E15" s="1185">
        <f ca="1">IF(AND(INDEX(렌터카모델!$P$3:$P$200,렌터카모델!$D$2)="E",$C$7=1),AH127,IF(AND(INDEX(렌터카모델!$P$3:$P$200,렌터카모델!$D$2)="E",$C$7=2),T127,IF(AND($C$4="Y",렌터카견적내기!$AQ$17="다인승",$C$7=2,$E$5=1),T15,IF(AND($C$4="Y",렌터카견적내기!$AQ$17="다인승",$C$7=1,$E$5=1),AH15,IF(AND(렌터카견적내기!$AQ$17="다인승",$C$7=1,$E$5=1,$E$7=1),AO52,IF(AND(렌터카견적내기!$AQ$17="다인승",$C$7=1,$E$5=1,$E$7=2),AH52,IF(AND(렌터카견적내기!$AQ$17="다인승",$C$7=2,$E$5=1,$E$7=1),AA89,IF(AND(렌터카견적내기!$AQ$17="다인승",$C$7=2,$E$5=1,$E$7=2),T89,0))))))))</f>
        <v>0</v>
      </c>
      <c r="F15" s="1185">
        <f ca="1">IF(AND(INDEX(렌터카모델!$P$3:$P$200,렌터카모델!$D$2)="E",$C$7=1),AI127,IF(AND(INDEX(렌터카모델!$P$3:$P$200,렌터카모델!$D$2)="E",$C$7=2),U127,IF(AND($C$4="Y",렌터카견적내기!$AQ$17="다인승",$C$7=2,$E$5=2),U15,IF(AND($C$4="Y",렌터카견적내기!$AQ$17="다인승",$C$7=1,$E$5=2),AI15,IF(AND(렌터카견적내기!$AQ$17="다인승",$C$7=1,$E$5=2,$E$7=1),AP52,IF(AND(렌터카견적내기!$AQ$17="다인승",$C$7=1,$E$5=2,$E$7=2),AI52,IF(AND(렌터카견적내기!$AQ$17="다인승",$C$7=2,$E$5=2,$E$7=1),AB89,IF(AND(렌터카견적내기!$AQ$17="다인승",$C$7=2,$E$5=2,$E$7=2),U89,0))))))))</f>
        <v>0</v>
      </c>
      <c r="G15" s="1175"/>
      <c r="H15" s="1870"/>
      <c r="I15" s="1187" t="s">
        <v>400</v>
      </c>
      <c r="J15" s="1186">
        <f ca="1">IF(AND(렌터카견적내기!$AQ$17="승용",$C$7=1,렌터카견적내기!$AW$16="E"),AF144,IF(AND(렌터카견적내기!$AQ$17="승용",$C$7=2,렌터카견적내기!$AW$16="E"),R144,IF(AND(렌터카견적내기!$AQ$17="승용",$C$7=1),AF32,R32)))</f>
        <v>562860</v>
      </c>
      <c r="K15" s="1186">
        <f ca="1">IF(AND(렌터카견적내기!$AQ$17="승합",$C$7=1,렌터카견적내기!$AW$16="E"),AG144,IF(AND(렌터카견적내기!$AQ$17="승합",$C$7=2,렌터카견적내기!$AW$16="E"),S144,IF(AND(렌터카견적내기!$AQ$17="승합",$C$7=1),AG32,S32)))</f>
        <v>509170</v>
      </c>
      <c r="L15" s="1186">
        <f ca="1">IF(AND(렌터카견적내기!$AQ$17="다인승",$C$7=1,렌터카견적내기!$AW$16="E",$E$5=1),AH144,IF(AND(렌터카견적내기!$AQ$17="다인승",$C$7=2,렌터카견적내기!$AW$16="E",$E$5=1),T144,IF(AND(렌터카견적내기!$AQ$17="다인승",$C$7=1,$E$5=1),AH32,T32)))</f>
        <v>547070</v>
      </c>
      <c r="M15" s="1238">
        <f ca="1">IF(AND(렌터카견적내기!$AQ$17="다인승",$C$7=1,렌터카견적내기!$AW$16="E",$E$5=2),AI144,IF(AND(렌터카견적내기!$AQ$17="다인승",$C$7=2,렌터카견적내기!$AW$16="E",$E$5=2),U144,IF(AND(렌터카견적내기!$AQ$17="다인승",$C$7=1,$E$5=2),AI32,U32)))</f>
        <v>547070</v>
      </c>
      <c r="O15" s="1212"/>
      <c r="P15" s="1860"/>
      <c r="Q15" s="1199" t="s">
        <v>1304</v>
      </c>
      <c r="R15" s="1200">
        <v>242540</v>
      </c>
      <c r="S15" s="1200">
        <v>216740</v>
      </c>
      <c r="T15" s="1200">
        <v>232380</v>
      </c>
      <c r="U15" s="1200">
        <v>232380</v>
      </c>
      <c r="W15" s="1860"/>
      <c r="X15" s="1199" t="s">
        <v>1304</v>
      </c>
      <c r="Y15" s="1200">
        <v>240440</v>
      </c>
      <c r="Z15" s="1200">
        <v>214860</v>
      </c>
      <c r="AA15" s="1200">
        <v>230380</v>
      </c>
      <c r="AB15" s="1200">
        <v>230380</v>
      </c>
      <c r="AD15" s="1860"/>
      <c r="AE15" s="1199" t="s">
        <v>1304</v>
      </c>
      <c r="AF15" s="1200">
        <v>224310</v>
      </c>
      <c r="AG15" s="1200">
        <v>199320</v>
      </c>
      <c r="AH15" s="1200">
        <v>222400</v>
      </c>
      <c r="AI15" s="1200">
        <v>222400</v>
      </c>
      <c r="AK15" s="1860"/>
      <c r="AL15" s="1199" t="s">
        <v>1304</v>
      </c>
      <c r="AM15" s="1200">
        <v>222380</v>
      </c>
      <c r="AN15" s="1200">
        <v>197590</v>
      </c>
      <c r="AO15" s="1200">
        <v>220480</v>
      </c>
      <c r="AP15" s="1200">
        <v>220480</v>
      </c>
      <c r="AQ15" s="1213"/>
      <c r="AS15" s="1212"/>
      <c r="AT15" s="1860"/>
      <c r="AU15" s="1199" t="s">
        <v>1304</v>
      </c>
      <c r="AV15" s="1200">
        <v>242540</v>
      </c>
      <c r="AW15" s="1200">
        <v>216740</v>
      </c>
      <c r="AX15" s="1200">
        <v>232380</v>
      </c>
      <c r="AY15" s="1200">
        <v>232380</v>
      </c>
      <c r="BA15" s="1860"/>
      <c r="BB15" s="1199" t="s">
        <v>1304</v>
      </c>
      <c r="BC15" s="1200">
        <v>240440</v>
      </c>
      <c r="BD15" s="1200">
        <v>214860</v>
      </c>
      <c r="BE15" s="1200">
        <v>230380</v>
      </c>
      <c r="BF15" s="1200">
        <v>230380</v>
      </c>
      <c r="BH15" s="1860"/>
      <c r="BI15" s="1199" t="s">
        <v>1304</v>
      </c>
      <c r="BJ15" s="1200">
        <v>224310</v>
      </c>
      <c r="BK15" s="1200">
        <v>199320</v>
      </c>
      <c r="BL15" s="1200">
        <v>222400</v>
      </c>
      <c r="BM15" s="1200">
        <v>222400</v>
      </c>
      <c r="BO15" s="1860"/>
      <c r="BP15" s="1199" t="s">
        <v>1304</v>
      </c>
      <c r="BQ15" s="1200">
        <v>222380</v>
      </c>
      <c r="BR15" s="1200">
        <v>197590</v>
      </c>
      <c r="BS15" s="1200">
        <v>220480</v>
      </c>
      <c r="BT15" s="1200">
        <v>220480</v>
      </c>
      <c r="BU15" s="1213"/>
    </row>
    <row r="16" spans="1:73" ht="15" customHeight="1">
      <c r="A16" s="1866" t="s">
        <v>401</v>
      </c>
      <c r="B16" s="1224" t="s">
        <v>402</v>
      </c>
      <c r="C16" s="1185">
        <f ca="1">IF(AND(INDEX(렌터카모델!$P$3:$P$200,렌터카모델!$D$2)="E",$C$7=1),AF128,IF(AND(INDEX(렌터카모델!$P$3:$P$200,렌터카모델!$D$2)="E",$C$7=2),R128,IF(AND($C$4="Y",$C$7=1),AF16,IF(AND($C$4="Y",$C$7=2),R16,IF(AND($C$7=1,$E$7=1),AM53,IF(AND($C$7=1,$E$7=2),AF53,IF(AND($C$7=2,$E$7=1),Y90,IF(AND($C$7=2,$E$7=2),R90,0))))))))</f>
        <v>3522.6</v>
      </c>
      <c r="D16" s="1185">
        <f ca="1">IF(AND(INDEX(렌터카모델!$P$3:$P$200,렌터카모델!$D$2)="E",$C$7=1),AG128,IF(AND(INDEX(렌터카모델!$P$3:$P$200,렌터카모델!$D$2)="E",$C$7=2),S128,IF(AND(렌터카견적내기!$AQ$17="승합",$C$4="Y",$C$7=1),AG16,IF(AND(렌터카견적내기!$AQ$17="승합",$C$4="Y",$C$7=2),S16,IF(AND(렌터카견적내기!$AQ$17="승합",$C$7=1,$E$7=1),AN53,IF(AND(렌터카견적내기!$AQ$17="승합",$C$7=1,$E$7=2),AG53,IF(AND(렌터카견적내기!$AQ$17="승합",$C$7=2,$E$7=1),Z90,IF(AND(렌터카견적내기!$AQ$17="승합",$C$7=2,$E$7=2),S90,0))))))))</f>
        <v>0</v>
      </c>
      <c r="E16" s="1185">
        <f ca="1">IF(AND(INDEX(렌터카모델!$P$3:$P$200,렌터카모델!$D$2)="E",$C$7=1),AH128,IF(AND(INDEX(렌터카모델!$P$3:$P$200,렌터카모델!$D$2)="E",$C$7=2),T128,IF(AND($C$4="Y",렌터카견적내기!$AQ$17="다인승",$C$7=2,$E$5=1),T16,IF(AND($C$4="Y",렌터카견적내기!$AQ$17="다인승",$C$7=1,$E$5=1),AH16,IF(AND(렌터카견적내기!$AQ$17="다인승",$C$7=1,$E$5=1,$E$7=1),AO53,IF(AND(렌터카견적내기!$AQ$17="다인승",$C$7=1,$E$5=1,$E$7=2),AH53,IF(AND(렌터카견적내기!$AQ$17="다인승",$C$7=2,$E$5=1,$E$7=1),AA90,IF(AND(렌터카견적내기!$AQ$17="다인승",$C$7=2,$E$5=1,$E$7=2),T90,0))))))))</f>
        <v>0</v>
      </c>
      <c r="F16" s="1185">
        <f ca="1">IF(AND(INDEX(렌터카모델!$P$3:$P$200,렌터카모델!$D$2)="E",$C$7=1),AI128,IF(AND(INDEX(렌터카모델!$P$3:$P$200,렌터카모델!$D$2)="E",$C$7=2),U128,IF(AND($C$4="Y",렌터카견적내기!$AQ$17="다인승",$C$7=2,$E$5=2),U16,IF(AND($C$4="Y",렌터카견적내기!$AQ$17="다인승",$C$7=1,$E$5=2),AI16,IF(AND(렌터카견적내기!$AQ$17="다인승",$C$7=1,$E$5=2,$E$7=1),AP53,IF(AND(렌터카견적내기!$AQ$17="다인승",$C$7=1,$E$5=2,$E$7=2),AI53,IF(AND(렌터카견적내기!$AQ$17="다인승",$C$7=2,$E$5=2,$E$7=1),AB90,IF(AND(렌터카견적내기!$AQ$17="다인승",$C$7=2,$E$5=2,$E$7=2),U90,0))))))))</f>
        <v>0</v>
      </c>
      <c r="G16" s="1175"/>
      <c r="H16" s="1866" t="s">
        <v>401</v>
      </c>
      <c r="I16" s="1224" t="s">
        <v>402</v>
      </c>
      <c r="J16" s="1186">
        <f ca="1">IF(AND(렌터카견적내기!$AQ$17="승용",$C$7=1,렌터카견적내기!$AW$16="E"),AF145,IF(AND(렌터카견적내기!$AQ$17="승용",$C$7=2,렌터카견적내기!$AW$16="E"),R145,IF(AND(렌터카견적내기!$AQ$17="승용",$C$7=1),AF33,R33)))</f>
        <v>23230</v>
      </c>
      <c r="K16" s="1186">
        <f ca="1">IF(AND(렌터카견적내기!$AQ$17="승합",$C$7=1,렌터카견적내기!$AW$16="E"),AG145,IF(AND(렌터카견적내기!$AQ$17="승합",$C$7=2,렌터카견적내기!$AW$16="E"),S145,IF(AND(렌터카견적내기!$AQ$17="승합",$C$7=1),AG33,S33)))</f>
        <v>11620</v>
      </c>
      <c r="L16" s="1186">
        <f ca="1">IF(AND(렌터카견적내기!$AQ$17="다인승",$C$7=1,렌터카견적내기!$AW$16="E",$E$5=1),AH145,IF(AND(렌터카견적내기!$AQ$17="다인승",$C$7=2,렌터카견적내기!$AW$16="E",$E$5=1),T145,IF(AND(렌터카견적내기!$AQ$17="다인승",$C$7=1,$E$5=1),AH33,T33)))</f>
        <v>17070</v>
      </c>
      <c r="M16" s="1238">
        <f ca="1">IF(AND(렌터카견적내기!$AQ$17="다인승",$C$7=1,렌터카견적내기!$AW$16="E",$E$5=2),AI145,IF(AND(렌터카견적내기!$AQ$17="다인승",$C$7=2,렌터카견적내기!$AW$16="E",$E$5=2),U145,IF(AND(렌터카견적내기!$AQ$17="다인승",$C$7=1,$E$5=2),AI33,U33)))</f>
        <v>17070</v>
      </c>
      <c r="O16" s="1212"/>
      <c r="P16" s="1859" t="s">
        <v>1467</v>
      </c>
      <c r="Q16" s="1199" t="s">
        <v>1305</v>
      </c>
      <c r="R16" s="1200">
        <v>10020</v>
      </c>
      <c r="S16" s="1200">
        <v>4970</v>
      </c>
      <c r="T16" s="1200">
        <v>7250</v>
      </c>
      <c r="U16" s="1200">
        <v>7250</v>
      </c>
      <c r="W16" s="1859" t="s">
        <v>1467</v>
      </c>
      <c r="X16" s="1199" t="s">
        <v>1305</v>
      </c>
      <c r="Y16" s="1200">
        <v>9900</v>
      </c>
      <c r="Z16" s="1200">
        <v>4910</v>
      </c>
      <c r="AA16" s="1200">
        <v>7170</v>
      </c>
      <c r="AB16" s="1200">
        <v>7170</v>
      </c>
      <c r="AD16" s="1859" t="s">
        <v>1467</v>
      </c>
      <c r="AE16" s="1199" t="s">
        <v>1305</v>
      </c>
      <c r="AF16" s="1200">
        <v>9260</v>
      </c>
      <c r="AG16" s="1200">
        <v>4570</v>
      </c>
      <c r="AH16" s="1200">
        <v>6940</v>
      </c>
      <c r="AI16" s="1200">
        <v>6940</v>
      </c>
      <c r="AK16" s="1859" t="s">
        <v>1467</v>
      </c>
      <c r="AL16" s="1199" t="s">
        <v>1305</v>
      </c>
      <c r="AM16" s="1200">
        <v>9160</v>
      </c>
      <c r="AN16" s="1200">
        <v>4520</v>
      </c>
      <c r="AO16" s="1200">
        <v>6860</v>
      </c>
      <c r="AP16" s="1200">
        <v>6860</v>
      </c>
      <c r="AQ16" s="1213"/>
      <c r="AS16" s="1212"/>
      <c r="AT16" s="1859" t="s">
        <v>1467</v>
      </c>
      <c r="AU16" s="1199" t="s">
        <v>1305</v>
      </c>
      <c r="AV16" s="1200">
        <v>10020</v>
      </c>
      <c r="AW16" s="1200">
        <v>4970</v>
      </c>
      <c r="AX16" s="1200">
        <v>7250</v>
      </c>
      <c r="AY16" s="1200">
        <v>7250</v>
      </c>
      <c r="BA16" s="1859" t="s">
        <v>1467</v>
      </c>
      <c r="BB16" s="1199" t="s">
        <v>1305</v>
      </c>
      <c r="BC16" s="1200">
        <v>9900</v>
      </c>
      <c r="BD16" s="1200">
        <v>4910</v>
      </c>
      <c r="BE16" s="1200">
        <v>7170</v>
      </c>
      <c r="BF16" s="1200">
        <v>7170</v>
      </c>
      <c r="BH16" s="1859" t="s">
        <v>1467</v>
      </c>
      <c r="BI16" s="1199" t="s">
        <v>1305</v>
      </c>
      <c r="BJ16" s="1200">
        <v>9260</v>
      </c>
      <c r="BK16" s="1200">
        <v>4570</v>
      </c>
      <c r="BL16" s="1200">
        <v>6940</v>
      </c>
      <c r="BM16" s="1200">
        <v>6940</v>
      </c>
      <c r="BO16" s="1859" t="s">
        <v>1467</v>
      </c>
      <c r="BP16" s="1199" t="s">
        <v>1305</v>
      </c>
      <c r="BQ16" s="1200">
        <v>9160</v>
      </c>
      <c r="BR16" s="1200">
        <v>4520</v>
      </c>
      <c r="BS16" s="1200">
        <v>6860</v>
      </c>
      <c r="BT16" s="1200">
        <v>6860</v>
      </c>
      <c r="BU16" s="1213"/>
    </row>
    <row r="17" spans="1:73">
      <c r="A17" s="1866"/>
      <c r="B17" s="1184" t="s">
        <v>403</v>
      </c>
      <c r="C17" s="1185">
        <f ca="1">IF(AND(INDEX(렌터카모델!$P$3:$P$200,렌터카모델!$D$2)="E",$C$7=1),AF129,IF(AND(INDEX(렌터카모델!$P$3:$P$200,렌터카모델!$D$2)="E",$C$7=2),R129,IF(AND($C$4="Y",$C$7=1),AF17,IF(AND($C$4="Y",$C$7=2),R17,IF(AND($C$7=1,$E$7=1),AM54,IF(AND($C$7=1,$E$7=2),AF54,IF(AND($C$7=2,$E$7=1),Y91,IF(AND($C$7=2,$E$7=2),R91,0))))))))</f>
        <v>5088.2</v>
      </c>
      <c r="D17" s="1185">
        <f ca="1">IF(AND(INDEX(렌터카모델!$P$3:$P$200,렌터카모델!$D$2)="E",$C$7=1),AG129,IF(AND(INDEX(렌터카모델!$P$3:$P$200,렌터카모델!$D$2)="E",$C$7=2),S129,IF(AND(렌터카견적내기!$AQ$17="승합",$C$4="Y",$C$7=1),AG17,IF(AND(렌터카견적내기!$AQ$17="승합",$C$4="Y",$C$7=2),S17,IF(AND(렌터카견적내기!$AQ$17="승합",$C$7=1,$E$7=1),AN54,IF(AND(렌터카견적내기!$AQ$17="승합",$C$7=1,$E$7=2),AG54,IF(AND(렌터카견적내기!$AQ$17="승합",$C$7=2,$E$7=1),Z91,IF(AND(렌터카견적내기!$AQ$17="승합",$C$7=2,$E$7=2),S91,0))))))))</f>
        <v>0</v>
      </c>
      <c r="E17" s="1185">
        <f ca="1">IF(AND(INDEX(렌터카모델!$P$3:$P$200,렌터카모델!$D$2)="E",$C$7=1),AH129,IF(AND(INDEX(렌터카모델!$P$3:$P$200,렌터카모델!$D$2)="E",$C$7=2),T129,IF(AND($C$4="Y",렌터카견적내기!$AQ$17="다인승",$C$7=2,$E$5=1),T17,IF(AND($C$4="Y",렌터카견적내기!$AQ$17="다인승",$C$7=1,$E$5=1),AH17,IF(AND(렌터카견적내기!$AQ$17="다인승",$C$7=1,$E$5=1,$E$7=1),AO54,IF(AND(렌터카견적내기!$AQ$17="다인승",$C$7=1,$E$5=1,$E$7=2),AH54,IF(AND(렌터카견적내기!$AQ$17="다인승",$C$7=2,$E$5=1,$E$7=1),AA91,IF(AND(렌터카견적내기!$AQ$17="다인승",$C$7=2,$E$5=1,$E$7=2),T91,0))))))))</f>
        <v>0</v>
      </c>
      <c r="F17" s="1185">
        <f ca="1">IF(AND(INDEX(렌터카모델!$P$3:$P$200,렌터카모델!$D$2)="E",$C$7=1),AI129,IF(AND(INDEX(렌터카모델!$P$3:$P$200,렌터카모델!$D$2)="E",$C$7=2),U129,IF(AND($C$4="Y",렌터카견적내기!$AQ$17="다인승",$C$7=2,$E$5=2),U17,IF(AND($C$4="Y",렌터카견적내기!$AQ$17="다인승",$C$7=1,$E$5=2),AI17,IF(AND(렌터카견적내기!$AQ$17="다인승",$C$7=1,$E$5=2,$E$7=1),AP54,IF(AND(렌터카견적내기!$AQ$17="다인승",$C$7=1,$E$5=2,$E$7=2),AI54,IF(AND(렌터카견적내기!$AQ$17="다인승",$C$7=2,$E$5=2,$E$7=1),AB91,IF(AND(렌터카견적내기!$AQ$17="다인승",$C$7=2,$E$5=2,$E$7=2),U91,0))))))))</f>
        <v>0</v>
      </c>
      <c r="G17" s="1175"/>
      <c r="H17" s="1866"/>
      <c r="I17" s="1184" t="s">
        <v>403</v>
      </c>
      <c r="J17" s="1186">
        <f ca="1">IF(AND(렌터카견적내기!$AQ$17="승용",$C$7=1,렌터카견적내기!$AW$16="E"),AF146,IF(AND(렌터카견적내기!$AQ$17="승용",$C$7=2,렌터카견적내기!$AW$16="E"),R146,IF(AND(렌터카견적내기!$AQ$17="승용",$C$7=1),AF34,R34)))</f>
        <v>29970</v>
      </c>
      <c r="K17" s="1186">
        <f ca="1">IF(AND(렌터카견적내기!$AQ$17="승합",$C$7=1,렌터카견적내기!$AW$16="E"),AG146,IF(AND(렌터카견적내기!$AQ$17="승합",$C$7=2,렌터카견적내기!$AW$16="E"),S146,IF(AND(렌터카견적내기!$AQ$17="승합",$C$7=1),AG34,S34)))</f>
        <v>15000</v>
      </c>
      <c r="L17" s="1186">
        <f ca="1">IF(AND(렌터카견적내기!$AQ$17="다인승",$C$7=1,렌터카견적내기!$AW$16="E",$E$5=1),AH146,IF(AND(렌터카견적내기!$AQ$17="다인승",$C$7=2,렌터카견적내기!$AW$16="E",$E$5=1),T146,IF(AND(렌터카견적내기!$AQ$17="다인승",$C$7=1,$E$5=1),AH34,T34)))</f>
        <v>22030</v>
      </c>
      <c r="M17" s="1238">
        <f ca="1">IF(AND(렌터카견적내기!$AQ$17="다인승",$C$7=1,렌터카견적내기!$AW$16="E",$E$5=2),AI146,IF(AND(렌터카견적내기!$AQ$17="다인승",$C$7=2,렌터카견적내기!$AW$16="E",$E$5=2),U146,IF(AND(렌터카견적내기!$AQ$17="다인승",$C$7=1,$E$5=2),AI34,U34)))</f>
        <v>22030</v>
      </c>
      <c r="O17" s="1212"/>
      <c r="P17" s="1861"/>
      <c r="Q17" s="1199" t="s">
        <v>1306</v>
      </c>
      <c r="R17" s="1200">
        <v>12920</v>
      </c>
      <c r="S17" s="1200">
        <v>6410</v>
      </c>
      <c r="T17" s="1200">
        <v>9360</v>
      </c>
      <c r="U17" s="1200">
        <v>9360</v>
      </c>
      <c r="W17" s="1861"/>
      <c r="X17" s="1199" t="s">
        <v>1306</v>
      </c>
      <c r="Y17" s="1200">
        <v>12770</v>
      </c>
      <c r="Z17" s="1200">
        <v>6340</v>
      </c>
      <c r="AA17" s="1200">
        <v>9250</v>
      </c>
      <c r="AB17" s="1200">
        <v>9250</v>
      </c>
      <c r="AD17" s="1861"/>
      <c r="AE17" s="1199" t="s">
        <v>1306</v>
      </c>
      <c r="AF17" s="1200">
        <v>11950</v>
      </c>
      <c r="AG17" s="1200">
        <v>5900</v>
      </c>
      <c r="AH17" s="1200">
        <v>8950</v>
      </c>
      <c r="AI17" s="1200">
        <v>8950</v>
      </c>
      <c r="AK17" s="1861"/>
      <c r="AL17" s="1199" t="s">
        <v>1306</v>
      </c>
      <c r="AM17" s="1200">
        <v>11810</v>
      </c>
      <c r="AN17" s="1200">
        <v>5830</v>
      </c>
      <c r="AO17" s="1200">
        <v>8850</v>
      </c>
      <c r="AP17" s="1200">
        <v>8850</v>
      </c>
      <c r="AQ17" s="1213"/>
      <c r="AS17" s="1212"/>
      <c r="AT17" s="1861"/>
      <c r="AU17" s="1199" t="s">
        <v>1306</v>
      </c>
      <c r="AV17" s="1200">
        <v>12920</v>
      </c>
      <c r="AW17" s="1200">
        <v>6410</v>
      </c>
      <c r="AX17" s="1200">
        <v>9360</v>
      </c>
      <c r="AY17" s="1200">
        <v>9360</v>
      </c>
      <c r="BA17" s="1861"/>
      <c r="BB17" s="1199" t="s">
        <v>1306</v>
      </c>
      <c r="BC17" s="1200">
        <v>12770</v>
      </c>
      <c r="BD17" s="1200">
        <v>6340</v>
      </c>
      <c r="BE17" s="1200">
        <v>9250</v>
      </c>
      <c r="BF17" s="1200">
        <v>9250</v>
      </c>
      <c r="BH17" s="1861"/>
      <c r="BI17" s="1199" t="s">
        <v>1306</v>
      </c>
      <c r="BJ17" s="1200">
        <v>11950</v>
      </c>
      <c r="BK17" s="1200">
        <v>5900</v>
      </c>
      <c r="BL17" s="1200">
        <v>8950</v>
      </c>
      <c r="BM17" s="1200">
        <v>8950</v>
      </c>
      <c r="BO17" s="1861"/>
      <c r="BP17" s="1199" t="s">
        <v>1306</v>
      </c>
      <c r="BQ17" s="1200">
        <v>11810</v>
      </c>
      <c r="BR17" s="1200">
        <v>5830</v>
      </c>
      <c r="BS17" s="1200">
        <v>8850</v>
      </c>
      <c r="BT17" s="1200">
        <v>8850</v>
      </c>
      <c r="BU17" s="1213"/>
    </row>
    <row r="18" spans="1:73">
      <c r="A18" s="1871"/>
      <c r="B18" s="1184" t="s">
        <v>398</v>
      </c>
      <c r="C18" s="1185">
        <f ca="1">IF(AND(INDEX(렌터카모델!$P$3:$P$200,렌터카모델!$D$2)="E",$C$7=1),AF130,IF(AND(INDEX(렌터카모델!$P$3:$P$200,렌터카모델!$D$2)="E",$C$7=2),R130,IF(AND($C$4="Y",$C$7=1),AF18,IF(AND($C$4="Y",$C$7=2),R18,IF(AND($C$7=1,$E$7=1),AM55,IF(AND($C$7=1,$E$7=2),AF55,IF(AND($C$7=2,$E$7=1),Y92,IF(AND($C$7=2,$E$7=2),R92,0))))))))</f>
        <v>9424.5</v>
      </c>
      <c r="D18" s="1185">
        <f ca="1">IF(AND(INDEX(렌터카모델!$P$3:$P$200,렌터카모델!$D$2)="E",$C$7=1),AG130,IF(AND(INDEX(렌터카모델!$P$3:$P$200,렌터카모델!$D$2)="E",$C$7=2),S130,IF(AND(렌터카견적내기!$AQ$17="승합",$C$4="Y",$C$7=1),AG18,IF(AND(렌터카견적내기!$AQ$17="승합",$C$4="Y",$C$7=2),S18,IF(AND(렌터카견적내기!$AQ$17="승합",$C$7=1,$E$7=1),AN55,IF(AND(렌터카견적내기!$AQ$17="승합",$C$7=1,$E$7=2),AG55,IF(AND(렌터카견적내기!$AQ$17="승합",$C$7=2,$E$7=1),Z92,IF(AND(렌터카견적내기!$AQ$17="승합",$C$7=2,$E$7=2),S92,0))))))))</f>
        <v>0</v>
      </c>
      <c r="E18" s="1185">
        <f ca="1">IF(AND(INDEX(렌터카모델!$P$3:$P$200,렌터카모델!$D$2)="E",$C$7=1),AH130,IF(AND(INDEX(렌터카모델!$P$3:$P$200,렌터카모델!$D$2)="E",$C$7=2),T130,IF(AND($C$4="Y",렌터카견적내기!$AQ$17="다인승",$C$7=2,$E$5=1),T18,IF(AND($C$4="Y",렌터카견적내기!$AQ$17="다인승",$C$7=1,$E$5=1),AH18,IF(AND(렌터카견적내기!$AQ$17="다인승",$C$7=1,$E$5=1,$E$7=1),AO55,IF(AND(렌터카견적내기!$AQ$17="다인승",$C$7=1,$E$5=1,$E$7=2),AH55,IF(AND(렌터카견적내기!$AQ$17="다인승",$C$7=2,$E$5=1,$E$7=1),AA92,IF(AND(렌터카견적내기!$AQ$17="다인승",$C$7=2,$E$5=1,$E$7=2),T92,0))))))))</f>
        <v>0</v>
      </c>
      <c r="F18" s="1185">
        <f ca="1">IF(AND(INDEX(렌터카모델!$P$3:$P$200,렌터카모델!$D$2)="E",$C$7=1),AI130,IF(AND(INDEX(렌터카모델!$P$3:$P$200,렌터카모델!$D$2)="E",$C$7=2),U130,IF(AND($C$4="Y",렌터카견적내기!$AQ$17="다인승",$C$7=2,$E$5=2),U18,IF(AND($C$4="Y",렌터카견적내기!$AQ$17="다인승",$C$7=1,$E$5=2),AI18,IF(AND(렌터카견적내기!$AQ$17="다인승",$C$7=1,$E$5=2,$E$7=1),AP55,IF(AND(렌터카견적내기!$AQ$17="다인승",$C$7=1,$E$5=2,$E$7=2),AI55,IF(AND(렌터카견적내기!$AQ$17="다인승",$C$7=2,$E$5=2,$E$7=1),AB92,IF(AND(렌터카견적내기!$AQ$17="다인승",$C$7=2,$E$5=2,$E$7=2),U92,0))))))))</f>
        <v>0</v>
      </c>
      <c r="G18" s="1175"/>
      <c r="H18" s="1871"/>
      <c r="I18" s="1184" t="s">
        <v>398</v>
      </c>
      <c r="J18" s="1186">
        <f ca="1">IF(AND(렌터카견적내기!$AQ$17="승용",$C$7=1,렌터카견적내기!$AW$16="E"),AF147,IF(AND(렌터카견적내기!$AQ$17="승용",$C$7=2,렌터카견적내기!$AW$16="E"),R147,IF(AND(렌터카견적내기!$AQ$17="승용",$C$7=1),AF35,R35)))</f>
        <v>45500</v>
      </c>
      <c r="K18" s="1186">
        <f ca="1">IF(AND(렌터카견적내기!$AQ$17="승합",$C$7=1,렌터카견적내기!$AW$16="E"),AG147,IF(AND(렌터카견적내기!$AQ$17="승합",$C$7=2,렌터카견적내기!$AW$16="E"),S147,IF(AND(렌터카견적내기!$AQ$17="승합",$C$7=1),AG35,S35)))</f>
        <v>22760</v>
      </c>
      <c r="L18" s="1186">
        <f ca="1">IF(AND(렌터카견적내기!$AQ$17="다인승",$C$7=1,렌터카견적내기!$AW$16="E",$E$5=1),AH147,IF(AND(렌터카견적내기!$AQ$17="다인승",$C$7=2,렌터카견적내기!$AW$16="E",$E$5=1),T147,IF(AND(렌터카견적내기!$AQ$17="다인승",$C$7=1,$E$5=1),AH35,T35)))</f>
        <v>33430</v>
      </c>
      <c r="M18" s="1238">
        <f ca="1">IF(AND(렌터카견적내기!$AQ$17="다인승",$C$7=1,렌터카견적내기!$AW$16="E",$E$5=2),AI147,IF(AND(렌터카견적내기!$AQ$17="다인승",$C$7=2,렌터카견적내기!$AW$16="E",$E$5=2),U147,IF(AND(렌터카견적내기!$AQ$17="다인승",$C$7=1,$E$5=2),AI35,U35)))</f>
        <v>33430</v>
      </c>
      <c r="O18" s="1212"/>
      <c r="P18" s="1860"/>
      <c r="Q18" s="1199" t="s">
        <v>413</v>
      </c>
      <c r="R18" s="1200">
        <v>19620</v>
      </c>
      <c r="S18" s="1200">
        <v>9730</v>
      </c>
      <c r="T18" s="1200">
        <v>14200</v>
      </c>
      <c r="U18" s="1200">
        <v>14200</v>
      </c>
      <c r="W18" s="1860"/>
      <c r="X18" s="1199" t="s">
        <v>413</v>
      </c>
      <c r="Y18" s="1200">
        <v>19390</v>
      </c>
      <c r="Z18" s="1200">
        <v>9620</v>
      </c>
      <c r="AA18" s="1200">
        <v>14040</v>
      </c>
      <c r="AB18" s="1200">
        <v>14040</v>
      </c>
      <c r="AD18" s="1860"/>
      <c r="AE18" s="1199" t="s">
        <v>413</v>
      </c>
      <c r="AF18" s="1200">
        <v>18150</v>
      </c>
      <c r="AG18" s="1200">
        <v>8950</v>
      </c>
      <c r="AH18" s="1200">
        <v>13590</v>
      </c>
      <c r="AI18" s="1200">
        <v>13590</v>
      </c>
      <c r="AK18" s="1860"/>
      <c r="AL18" s="1199" t="s">
        <v>413</v>
      </c>
      <c r="AM18" s="1200">
        <v>17940</v>
      </c>
      <c r="AN18" s="1200">
        <v>8850</v>
      </c>
      <c r="AO18" s="1200">
        <v>13430</v>
      </c>
      <c r="AP18" s="1200">
        <v>13430</v>
      </c>
      <c r="AQ18" s="1213"/>
      <c r="AS18" s="1212"/>
      <c r="AT18" s="1860"/>
      <c r="AU18" s="1199" t="s">
        <v>413</v>
      </c>
      <c r="AV18" s="1200">
        <v>19620</v>
      </c>
      <c r="AW18" s="1200">
        <v>9730</v>
      </c>
      <c r="AX18" s="1200">
        <v>14200</v>
      </c>
      <c r="AY18" s="1200">
        <v>14200</v>
      </c>
      <c r="BA18" s="1860"/>
      <c r="BB18" s="1199" t="s">
        <v>413</v>
      </c>
      <c r="BC18" s="1200">
        <v>19390</v>
      </c>
      <c r="BD18" s="1200">
        <v>9620</v>
      </c>
      <c r="BE18" s="1200">
        <v>14040</v>
      </c>
      <c r="BF18" s="1200">
        <v>14040</v>
      </c>
      <c r="BH18" s="1860"/>
      <c r="BI18" s="1199" t="s">
        <v>413</v>
      </c>
      <c r="BJ18" s="1200">
        <v>18150</v>
      </c>
      <c r="BK18" s="1200">
        <v>8950</v>
      </c>
      <c r="BL18" s="1200">
        <v>13590</v>
      </c>
      <c r="BM18" s="1200">
        <v>13590</v>
      </c>
      <c r="BO18" s="1860"/>
      <c r="BP18" s="1199" t="s">
        <v>413</v>
      </c>
      <c r="BQ18" s="1200">
        <v>17940</v>
      </c>
      <c r="BR18" s="1200">
        <v>8850</v>
      </c>
      <c r="BS18" s="1200">
        <v>13430</v>
      </c>
      <c r="BT18" s="1200">
        <v>13430</v>
      </c>
      <c r="BU18" s="1213"/>
    </row>
    <row r="19" spans="1:73">
      <c r="A19" s="1184" t="s">
        <v>404</v>
      </c>
      <c r="B19" s="1184" t="s">
        <v>405</v>
      </c>
      <c r="C19" s="1185">
        <f ca="1">IF(AND(INDEX(렌터카모델!$P$3:$P$200,렌터카모델!$D$2)="E",$C$7=1),AF131,IF(AND(INDEX(렌터카모델!$P$3:$P$200,렌터카모델!$D$2)="E",$C$7=2),R131,IF(AND($C$4="Y",$C$7=1),AF19,IF(AND($C$4="Y",$C$7=2),R19,IF(AND($C$7=1,$E$7=1),AM56,IF(AND($C$7=1,$E$7=2),AF56,IF(AND($C$7=2,$E$7=1),Y93,IF(AND($C$7=2,$E$7=2),R93,0))))))))</f>
        <v>2163</v>
      </c>
      <c r="D19" s="1185">
        <f ca="1">IF(AND(INDEX(렌터카모델!$P$3:$P$200,렌터카모델!$D$2)="E",$C$7=1),AG131,IF(AND(INDEX(렌터카모델!$P$3:$P$200,렌터카모델!$D$2)="E",$C$7=2),S131,IF(AND(렌터카견적내기!$AQ$17="승합",$C$4="Y",$C$7=1),AG19,IF(AND(렌터카견적내기!$AQ$17="승합",$C$4="Y",$C$7=2),S19,IF(AND(렌터카견적내기!$AQ$17="승합",$C$7=1,$E$7=1),AN56,IF(AND(렌터카견적내기!$AQ$17="승합",$C$7=1,$E$7=2),AG56,IF(AND(렌터카견적내기!$AQ$17="승합",$C$7=2,$E$7=1),Z93,IF(AND(렌터카견적내기!$AQ$17="승합",$C$7=2,$E$7=2),S93,0))))))))</f>
        <v>0</v>
      </c>
      <c r="E19" s="1185">
        <f ca="1">IF(AND(INDEX(렌터카모델!$P$3:$P$200,렌터카모델!$D$2)="E",$C$7=1),AH131,IF(AND(INDEX(렌터카모델!$P$3:$P$200,렌터카모델!$D$2)="E",$C$7=2),T131,IF(AND($C$4="Y",렌터카견적내기!$AQ$17="다인승",$C$7=2,$E$5=1),T19,IF(AND($C$4="Y",렌터카견적내기!$AQ$17="다인승",$C$7=1,$E$5=1),AH19,IF(AND(렌터카견적내기!$AQ$17="다인승",$C$7=1,$E$5=1,$E$7=1),AO56,IF(AND(렌터카견적내기!$AQ$17="다인승",$C$7=1,$E$5=1,$E$7=2),AH56,IF(AND(렌터카견적내기!$AQ$17="다인승",$C$7=2,$E$5=1,$E$7=1),AA93,IF(AND(렌터카견적내기!$AQ$17="다인승",$C$7=2,$E$5=1,$E$7=2),T93,0))))))))</f>
        <v>0</v>
      </c>
      <c r="F19" s="1185">
        <f ca="1">IF(AND(INDEX(렌터카모델!$P$3:$P$200,렌터카모델!$D$2)="E",$C$7=1),AI131,IF(AND(INDEX(렌터카모델!$P$3:$P$200,렌터카모델!$D$2)="E",$C$7=2),U131,IF(AND($C$4="Y",렌터카견적내기!$AQ$17="다인승",$C$7=2,$E$5=2),U19,IF(AND($C$4="Y",렌터카견적내기!$AQ$17="다인승",$C$7=1,$E$5=2),AI19,IF(AND(렌터카견적내기!$AQ$17="다인승",$C$7=1,$E$5=2,$E$7=1),AP56,IF(AND(렌터카견적내기!$AQ$17="다인승",$C$7=1,$E$5=2,$E$7=2),AI56,IF(AND(렌터카견적내기!$AQ$17="다인승",$C$7=2,$E$5=2,$E$7=1),AB93,IF(AND(렌터카견적내기!$AQ$17="다인승",$C$7=2,$E$5=2,$E$7=2),U93,0))))))))</f>
        <v>0</v>
      </c>
      <c r="G19" s="1175"/>
      <c r="H19" s="1184" t="s">
        <v>404</v>
      </c>
      <c r="I19" s="1184" t="s">
        <v>405</v>
      </c>
      <c r="J19" s="1186">
        <f ca="1">IF(AND(렌터카견적내기!$AQ$17="승용",$C$7=1,렌터카견적내기!$AW$16="E"),AF148,IF(AND(렌터카견적내기!$AQ$17="승용",$C$7=2,렌터카견적내기!$AW$16="E"),R148,IF(AND(렌터카견적내기!$AQ$17="승용",$C$7=1),AF36,R36)))</f>
        <v>53860</v>
      </c>
      <c r="K19" s="1186">
        <f ca="1">IF(AND(렌터카견적내기!$AQ$17="승합",$C$7=1,렌터카견적내기!$AW$16="E"),AG148,IF(AND(렌터카견적내기!$AQ$17="승합",$C$7=2,렌터카견적내기!$AW$16="E"),S148,IF(AND(렌터카견적내기!$AQ$17="승합",$C$7=1),AG36,S36)))</f>
        <v>50970</v>
      </c>
      <c r="L19" s="1186">
        <f ca="1">IF(AND(렌터카견적내기!$AQ$17="다인승",$C$7=1,렌터카견적내기!$AW$16="E",$E$5=1),AH148,IF(AND(렌터카견적내기!$AQ$17="다인승",$C$7=2,렌터카견적내기!$AW$16="E",$E$5=1),T148,IF(AND(렌터카견적내기!$AQ$17="다인승",$C$7=1,$E$5=1),AH36,T36)))</f>
        <v>45960</v>
      </c>
      <c r="M19" s="1238">
        <f ca="1">IF(AND(렌터카견적내기!$AQ$17="다인승",$C$7=1,렌터카견적내기!$AW$16="E",$E$5=2),AI148,IF(AND(렌터카견적내기!$AQ$17="다인승",$C$7=2,렌터카견적내기!$AW$16="E",$E$5=2),U148,IF(AND(렌터카견적내기!$AQ$17="다인승",$C$7=1,$E$5=2),AI36,U36)))</f>
        <v>45960</v>
      </c>
      <c r="O19" s="1212"/>
      <c r="P19" s="1199" t="s">
        <v>416</v>
      </c>
      <c r="Q19" s="1199" t="s">
        <v>414</v>
      </c>
      <c r="R19" s="1201">
        <v>23210</v>
      </c>
      <c r="S19" s="1201">
        <v>21800</v>
      </c>
      <c r="T19" s="1201">
        <v>19520</v>
      </c>
      <c r="U19" s="1201">
        <v>19520</v>
      </c>
      <c r="W19" s="1199" t="s">
        <v>416</v>
      </c>
      <c r="X19" s="1199" t="s">
        <v>414</v>
      </c>
      <c r="Y19" s="1201">
        <v>23010</v>
      </c>
      <c r="Z19" s="1201">
        <v>21610</v>
      </c>
      <c r="AA19" s="1201">
        <v>19350</v>
      </c>
      <c r="AB19" s="1201">
        <v>19350</v>
      </c>
      <c r="AD19" s="1199" t="s">
        <v>416</v>
      </c>
      <c r="AE19" s="1199" t="s">
        <v>414</v>
      </c>
      <c r="AF19" s="1201">
        <v>21480</v>
      </c>
      <c r="AG19" s="1201">
        <v>20050</v>
      </c>
      <c r="AH19" s="1201">
        <v>18690</v>
      </c>
      <c r="AI19" s="1201">
        <v>18690</v>
      </c>
      <c r="AK19" s="1199" t="s">
        <v>416</v>
      </c>
      <c r="AL19" s="1199" t="s">
        <v>414</v>
      </c>
      <c r="AM19" s="1201">
        <v>21290</v>
      </c>
      <c r="AN19" s="1201">
        <v>19870</v>
      </c>
      <c r="AO19" s="1201">
        <v>18530</v>
      </c>
      <c r="AP19" s="1201">
        <v>18530</v>
      </c>
      <c r="AQ19" s="1213"/>
      <c r="AS19" s="1212"/>
      <c r="AT19" s="1199" t="s">
        <v>416</v>
      </c>
      <c r="AU19" s="1199" t="s">
        <v>414</v>
      </c>
      <c r="AV19" s="1201">
        <v>23210</v>
      </c>
      <c r="AW19" s="1201">
        <v>21800</v>
      </c>
      <c r="AX19" s="1201">
        <v>19520</v>
      </c>
      <c r="AY19" s="1201">
        <v>19520</v>
      </c>
      <c r="BA19" s="1199" t="s">
        <v>416</v>
      </c>
      <c r="BB19" s="1199" t="s">
        <v>414</v>
      </c>
      <c r="BC19" s="1201">
        <v>23010</v>
      </c>
      <c r="BD19" s="1201">
        <v>21610</v>
      </c>
      <c r="BE19" s="1201">
        <v>19350</v>
      </c>
      <c r="BF19" s="1201">
        <v>19350</v>
      </c>
      <c r="BH19" s="1199" t="s">
        <v>416</v>
      </c>
      <c r="BI19" s="1199" t="s">
        <v>414</v>
      </c>
      <c r="BJ19" s="1201">
        <v>21480</v>
      </c>
      <c r="BK19" s="1201">
        <v>20050</v>
      </c>
      <c r="BL19" s="1201">
        <v>18690</v>
      </c>
      <c r="BM19" s="1201">
        <v>18690</v>
      </c>
      <c r="BO19" s="1199" t="s">
        <v>416</v>
      </c>
      <c r="BP19" s="1199" t="s">
        <v>414</v>
      </c>
      <c r="BQ19" s="1201">
        <v>21290</v>
      </c>
      <c r="BR19" s="1201">
        <v>19870</v>
      </c>
      <c r="BS19" s="1201">
        <v>18530</v>
      </c>
      <c r="BT19" s="1201">
        <v>18530</v>
      </c>
      <c r="BU19" s="1213"/>
    </row>
    <row r="20" spans="1:73" ht="15" customHeight="1">
      <c r="A20" s="1184" t="s">
        <v>384</v>
      </c>
      <c r="B20" s="1184"/>
      <c r="C20" s="1185"/>
      <c r="D20" s="1185"/>
      <c r="E20" s="1185"/>
      <c r="F20" s="1185"/>
      <c r="G20" s="1175"/>
      <c r="H20" s="1184" t="s">
        <v>384</v>
      </c>
      <c r="I20" s="1184"/>
      <c r="J20" s="1186"/>
      <c r="K20" s="1186"/>
      <c r="L20" s="1186"/>
      <c r="M20" s="1238"/>
      <c r="O20" s="1212"/>
      <c r="P20" s="1202" t="s">
        <v>406</v>
      </c>
      <c r="Q20" s="1203" t="s">
        <v>407</v>
      </c>
      <c r="R20" s="1201">
        <v>15560</v>
      </c>
      <c r="S20" s="1201">
        <v>15560</v>
      </c>
      <c r="T20" s="1201">
        <v>15560</v>
      </c>
      <c r="U20" s="1201">
        <v>15560</v>
      </c>
      <c r="W20" s="1199" t="s">
        <v>415</v>
      </c>
      <c r="X20" s="1199" t="s">
        <v>1307</v>
      </c>
      <c r="Y20" s="1201">
        <v>15560</v>
      </c>
      <c r="Z20" s="1201">
        <v>15560</v>
      </c>
      <c r="AA20" s="1201">
        <v>15560</v>
      </c>
      <c r="AB20" s="1201">
        <v>15560</v>
      </c>
      <c r="AD20" s="1199" t="s">
        <v>415</v>
      </c>
      <c r="AE20" s="1199" t="s">
        <v>1307</v>
      </c>
      <c r="AF20" s="1201">
        <v>15560</v>
      </c>
      <c r="AG20" s="1201">
        <v>15560</v>
      </c>
      <c r="AH20" s="1201">
        <v>15560</v>
      </c>
      <c r="AI20" s="1201">
        <v>15560</v>
      </c>
      <c r="AK20" s="1199" t="s">
        <v>415</v>
      </c>
      <c r="AL20" s="1199" t="s">
        <v>1307</v>
      </c>
      <c r="AM20" s="1201">
        <v>15560</v>
      </c>
      <c r="AN20" s="1201">
        <v>15560</v>
      </c>
      <c r="AO20" s="1201">
        <v>15560</v>
      </c>
      <c r="AP20" s="1201">
        <v>15560</v>
      </c>
      <c r="AQ20" s="1213"/>
      <c r="AS20" s="1212"/>
      <c r="AT20" s="1202" t="s">
        <v>406</v>
      </c>
      <c r="AU20" s="1203" t="s">
        <v>407</v>
      </c>
      <c r="AV20" s="1201">
        <v>15560</v>
      </c>
      <c r="AW20" s="1201">
        <v>15560</v>
      </c>
      <c r="AX20" s="1201">
        <v>15560</v>
      </c>
      <c r="AY20" s="1201">
        <v>15560</v>
      </c>
      <c r="BA20" s="1199" t="s">
        <v>415</v>
      </c>
      <c r="BB20" s="1199" t="s">
        <v>1307</v>
      </c>
      <c r="BC20" s="1201">
        <v>15560</v>
      </c>
      <c r="BD20" s="1201">
        <v>15560</v>
      </c>
      <c r="BE20" s="1201">
        <v>15560</v>
      </c>
      <c r="BF20" s="1201">
        <v>15560</v>
      </c>
      <c r="BH20" s="1199" t="s">
        <v>415</v>
      </c>
      <c r="BI20" s="1199" t="s">
        <v>1307</v>
      </c>
      <c r="BJ20" s="1201">
        <v>15560</v>
      </c>
      <c r="BK20" s="1201">
        <v>15560</v>
      </c>
      <c r="BL20" s="1201">
        <v>15560</v>
      </c>
      <c r="BM20" s="1201">
        <v>15560</v>
      </c>
      <c r="BO20" s="1199" t="s">
        <v>415</v>
      </c>
      <c r="BP20" s="1199" t="s">
        <v>1307</v>
      </c>
      <c r="BQ20" s="1201">
        <v>15560</v>
      </c>
      <c r="BR20" s="1201">
        <v>15560</v>
      </c>
      <c r="BS20" s="1201">
        <v>15560</v>
      </c>
      <c r="BT20" s="1201">
        <v>15560</v>
      </c>
      <c r="BU20" s="1213"/>
    </row>
    <row r="21" spans="1:73">
      <c r="A21" s="1188" t="s">
        <v>386</v>
      </c>
      <c r="B21" s="1188" t="s">
        <v>387</v>
      </c>
      <c r="C21" s="1229" t="str">
        <f ca="1">IF(AND(렌터카견적내기!$AW$16="E",$C$7=2),R134,IF(AND(렌터카견적내기!$AW$16="E",$C$7=1),AF134,""))</f>
        <v/>
      </c>
      <c r="D21" s="1229" t="str">
        <f ca="1">IF(AND(렌터카견적내기!$AW$16="E",$C$7=2),S134,IF(AND(렌터카견적내기!$AW$16="E",$C$7=1),AG134,""))</f>
        <v/>
      </c>
      <c r="E21" s="1229" t="str">
        <f ca="1">IF(AND(렌터카견적내기!$AW$16="E",$C$7=2),T134,IF(AND(렌터카견적내기!$AW$16="E",$C$7=1),AH134,""))</f>
        <v/>
      </c>
      <c r="F21" s="1229" t="str">
        <f ca="1">IF(AND(렌터카견적내기!$AW$16="E",$C$7=2),U134,IF(AND(렌터카견적내기!$AW$16="E",$C$7=1),AI134,""))</f>
        <v/>
      </c>
      <c r="G21" s="1175"/>
      <c r="H21" s="1188" t="s">
        <v>386</v>
      </c>
      <c r="I21" s="1188" t="s">
        <v>387</v>
      </c>
      <c r="J21" s="1189" t="str">
        <f ca="1">IF(AND(렌터카견적내기!$AW$16="E",$C$7=2),R151,IF(AND(렌터카견적내기!$AW$16="E",$C$7=1),AF151,""))</f>
        <v/>
      </c>
      <c r="K21" s="1189" t="str">
        <f ca="1">IF(AND(렌터카견적내기!$AW$16="E",$C$7=2),S151,IF(AND(렌터카견적내기!$AW$16="E",$C$7=1),AG151,""))</f>
        <v/>
      </c>
      <c r="L21" s="1189" t="str">
        <f ca="1">IF(AND(렌터카견적내기!$AW$16="E",$C$7=2),T151,IF(AND(렌터카견적내기!$AW$16="E",$C$7=1),AH151,""))</f>
        <v/>
      </c>
      <c r="M21" s="1239" t="str">
        <f ca="1">IF(AND(렌터카견적내기!$AW$16="E",$C$7=2),U151,IF(AND(렌터카견적내기!$AW$16="E",$C$7=1),AI151,""))</f>
        <v/>
      </c>
      <c r="O21" s="1212"/>
      <c r="P21" s="1862" t="s">
        <v>408</v>
      </c>
      <c r="Q21" s="1859" t="s">
        <v>1308</v>
      </c>
      <c r="R21" s="1204">
        <v>196110</v>
      </c>
      <c r="S21" s="1204">
        <v>131820</v>
      </c>
      <c r="T21" s="1204">
        <v>194460</v>
      </c>
      <c r="U21" s="1204">
        <v>194460</v>
      </c>
      <c r="W21" s="1862" t="s">
        <v>408</v>
      </c>
      <c r="X21" s="1859" t="s">
        <v>1308</v>
      </c>
      <c r="Y21" s="1204">
        <v>194610</v>
      </c>
      <c r="Z21" s="1204">
        <v>130810</v>
      </c>
      <c r="AA21" s="1204">
        <v>192960</v>
      </c>
      <c r="AB21" s="1204">
        <v>192960</v>
      </c>
      <c r="AD21" s="1862" t="s">
        <v>408</v>
      </c>
      <c r="AE21" s="1859" t="s">
        <v>1308</v>
      </c>
      <c r="AF21" s="1204">
        <v>181460</v>
      </c>
      <c r="AG21" s="1204">
        <v>121230</v>
      </c>
      <c r="AH21" s="1204">
        <v>186110</v>
      </c>
      <c r="AI21" s="1204">
        <v>186110</v>
      </c>
      <c r="AK21" s="1862" t="s">
        <v>408</v>
      </c>
      <c r="AL21" s="1859" t="s">
        <v>1308</v>
      </c>
      <c r="AM21" s="1204">
        <v>162500</v>
      </c>
      <c r="AN21" s="1204">
        <v>120300</v>
      </c>
      <c r="AO21" s="1204">
        <v>184680</v>
      </c>
      <c r="AP21" s="1204">
        <v>184680</v>
      </c>
      <c r="AQ21" s="1213"/>
      <c r="AS21" s="1212"/>
      <c r="AT21" s="1862" t="s">
        <v>408</v>
      </c>
      <c r="AU21" s="1859" t="s">
        <v>1308</v>
      </c>
      <c r="AV21" s="1204">
        <v>196110</v>
      </c>
      <c r="AW21" s="1204">
        <v>131820</v>
      </c>
      <c r="AX21" s="1204">
        <v>194460</v>
      </c>
      <c r="AY21" s="1204">
        <v>194460</v>
      </c>
      <c r="BA21" s="1862" t="s">
        <v>408</v>
      </c>
      <c r="BB21" s="1859" t="s">
        <v>1308</v>
      </c>
      <c r="BC21" s="1204">
        <v>194610</v>
      </c>
      <c r="BD21" s="1204">
        <v>130810</v>
      </c>
      <c r="BE21" s="1204">
        <v>192960</v>
      </c>
      <c r="BF21" s="1204">
        <v>192960</v>
      </c>
      <c r="BH21" s="1862" t="s">
        <v>408</v>
      </c>
      <c r="BI21" s="1859" t="s">
        <v>1308</v>
      </c>
      <c r="BJ21" s="1204">
        <v>181460</v>
      </c>
      <c r="BK21" s="1204">
        <v>121230</v>
      </c>
      <c r="BL21" s="1204">
        <v>186110</v>
      </c>
      <c r="BM21" s="1204">
        <v>186110</v>
      </c>
      <c r="BO21" s="1862" t="s">
        <v>408</v>
      </c>
      <c r="BP21" s="1859" t="s">
        <v>1308</v>
      </c>
      <c r="BQ21" s="1204">
        <v>162500</v>
      </c>
      <c r="BR21" s="1204">
        <v>120300</v>
      </c>
      <c r="BS21" s="1204">
        <v>184680</v>
      </c>
      <c r="BT21" s="1204">
        <v>184680</v>
      </c>
      <c r="BU21" s="1213"/>
    </row>
    <row r="22" spans="1:73">
      <c r="A22" s="1184" t="s">
        <v>1466</v>
      </c>
      <c r="B22" s="1184" t="s">
        <v>390</v>
      </c>
      <c r="C22" s="1185"/>
      <c r="D22" s="1185"/>
      <c r="E22" s="1185"/>
      <c r="F22" s="1185"/>
      <c r="G22" s="1175"/>
      <c r="H22" s="1184" t="s">
        <v>1466</v>
      </c>
      <c r="I22" s="1184"/>
      <c r="J22" s="1185"/>
      <c r="K22" s="1185"/>
      <c r="L22" s="1185"/>
      <c r="M22" s="1238"/>
      <c r="O22" s="1212"/>
      <c r="P22" s="1863"/>
      <c r="Q22" s="1860"/>
      <c r="R22" s="1205">
        <f>R21/100000</f>
        <v>1.9611000000000001</v>
      </c>
      <c r="S22" s="1205">
        <f t="shared" ref="S22:U22" si="0">S21/100000</f>
        <v>1.3182</v>
      </c>
      <c r="T22" s="1205">
        <f t="shared" si="0"/>
        <v>1.9446000000000001</v>
      </c>
      <c r="U22" s="1205">
        <f t="shared" si="0"/>
        <v>1.9446000000000001</v>
      </c>
      <c r="W22" s="1863"/>
      <c r="X22" s="1860"/>
      <c r="Y22" s="1205">
        <v>1.9611000000000001</v>
      </c>
      <c r="Z22" s="1205">
        <v>1.3182</v>
      </c>
      <c r="AA22" s="1205">
        <v>1.9446000000000001</v>
      </c>
      <c r="AB22" s="1205">
        <v>1.9446000000000001</v>
      </c>
      <c r="AD22" s="1863"/>
      <c r="AE22" s="1860"/>
      <c r="AF22" s="1205">
        <v>1.8146</v>
      </c>
      <c r="AG22" s="1205">
        <v>1.2122999999999999</v>
      </c>
      <c r="AH22" s="1205">
        <v>1.8611</v>
      </c>
      <c r="AI22" s="1205">
        <v>1.8611</v>
      </c>
      <c r="AK22" s="1863"/>
      <c r="AL22" s="1860"/>
      <c r="AM22" s="1205">
        <v>1.8146</v>
      </c>
      <c r="AN22" s="1205">
        <v>1.2122999999999999</v>
      </c>
      <c r="AO22" s="1205">
        <v>1.8611</v>
      </c>
      <c r="AP22" s="1205">
        <v>1.8611</v>
      </c>
      <c r="AQ22" s="1213"/>
      <c r="AS22" s="1212"/>
      <c r="AT22" s="1863"/>
      <c r="AU22" s="1860"/>
      <c r="AV22" s="1205">
        <f>AV21/100000</f>
        <v>1.9611000000000001</v>
      </c>
      <c r="AW22" s="1205">
        <f t="shared" ref="AW22:AY22" si="1">AW21/100000</f>
        <v>1.3182</v>
      </c>
      <c r="AX22" s="1205">
        <f t="shared" si="1"/>
        <v>1.9446000000000001</v>
      </c>
      <c r="AY22" s="1205">
        <f t="shared" si="1"/>
        <v>1.9446000000000001</v>
      </c>
      <c r="BA22" s="1863"/>
      <c r="BB22" s="1860"/>
      <c r="BC22" s="1205">
        <v>1.9611000000000001</v>
      </c>
      <c r="BD22" s="1205">
        <v>1.3182</v>
      </c>
      <c r="BE22" s="1205">
        <v>1.9446000000000001</v>
      </c>
      <c r="BF22" s="1205">
        <v>1.9446000000000001</v>
      </c>
      <c r="BH22" s="1863"/>
      <c r="BI22" s="1860"/>
      <c r="BJ22" s="1205">
        <v>1.8146</v>
      </c>
      <c r="BK22" s="1205">
        <v>1.2122999999999999</v>
      </c>
      <c r="BL22" s="1205">
        <v>1.8611</v>
      </c>
      <c r="BM22" s="1205">
        <v>1.8611</v>
      </c>
      <c r="BO22" s="1863"/>
      <c r="BP22" s="1860"/>
      <c r="BQ22" s="1205">
        <v>1.8146</v>
      </c>
      <c r="BR22" s="1205">
        <v>1.2122999999999999</v>
      </c>
      <c r="BS22" s="1205">
        <v>1.8611</v>
      </c>
      <c r="BT22" s="1205">
        <v>1.8611</v>
      </c>
      <c r="BU22" s="1213"/>
    </row>
    <row r="23" spans="1:73" ht="15" customHeight="1">
      <c r="A23" s="1865" t="s">
        <v>392</v>
      </c>
      <c r="B23" s="1184" t="s">
        <v>393</v>
      </c>
      <c r="C23" s="1190"/>
      <c r="D23" s="1190"/>
      <c r="E23" s="1190"/>
      <c r="F23" s="1190"/>
      <c r="G23" s="1175"/>
      <c r="H23" s="1865" t="s">
        <v>392</v>
      </c>
      <c r="I23" s="1184" t="s">
        <v>393</v>
      </c>
      <c r="J23" s="1190"/>
      <c r="K23" s="1190"/>
      <c r="L23" s="1190"/>
      <c r="M23" s="1240"/>
      <c r="O23" s="1212"/>
      <c r="P23" s="1216"/>
      <c r="R23" s="1217">
        <f t="shared" ref="R23:U23" si="2">R11+R12+R13+R18+R19</f>
        <v>604380</v>
      </c>
      <c r="S23" s="1217">
        <f t="shared" si="2"/>
        <v>586940</v>
      </c>
      <c r="T23" s="1217">
        <f>T11+T12+T13+T18+T19</f>
        <v>516570</v>
      </c>
      <c r="U23" s="1217">
        <f t="shared" si="2"/>
        <v>516570</v>
      </c>
      <c r="W23" s="1216"/>
      <c r="Y23" s="1217">
        <f t="shared" ref="Y23:Z23" si="3">Y11+Y12+Y13+Y18+Y19</f>
        <v>599110</v>
      </c>
      <c r="Z23" s="1217">
        <f t="shared" si="3"/>
        <v>581840</v>
      </c>
      <c r="AA23" s="1217">
        <f>AA11+AA12+AA13+AA18+AA19</f>
        <v>512080</v>
      </c>
      <c r="AB23" s="1217">
        <f>AB11+AB12+AB13+AB18+AB19</f>
        <v>512080</v>
      </c>
      <c r="AD23" s="1216"/>
      <c r="AF23" s="1217">
        <f>AF11+AF12+AF13+AF18+AF19</f>
        <v>558950</v>
      </c>
      <c r="AG23" s="1217">
        <f>AG11+AG12+AG13+AG18+AG19</f>
        <v>539900</v>
      </c>
      <c r="AH23" s="1217">
        <f>AH11+AH12+AH13+AH18+AH19</f>
        <v>494430</v>
      </c>
      <c r="AI23" s="1217">
        <f>AI11+AI12+AI13+AI18+AI19</f>
        <v>494430</v>
      </c>
      <c r="AM23" s="1217">
        <f>AM11+AM12+AM13+AM18+AM19</f>
        <v>554080</v>
      </c>
      <c r="AN23" s="1217">
        <f>AN11+AN12+AN13+AN18+AN19</f>
        <v>535210</v>
      </c>
      <c r="AO23" s="1217">
        <f t="shared" ref="AO23:AP23" si="4">AO11+AO12+AO13+AO18+AO19</f>
        <v>490110</v>
      </c>
      <c r="AP23" s="1217">
        <f t="shared" si="4"/>
        <v>490110</v>
      </c>
      <c r="AQ23" s="1213"/>
      <c r="AS23" s="1212"/>
      <c r="AT23" s="1216"/>
      <c r="AV23" s="1217">
        <f t="shared" ref="AV23:AW23" si="5">AV11+AV12+AV13+AV18+AV19</f>
        <v>604380</v>
      </c>
      <c r="AW23" s="1217">
        <f t="shared" si="5"/>
        <v>586940</v>
      </c>
      <c r="AX23" s="1217">
        <f>AX11+AX12+AX13+AX18+AX19</f>
        <v>516570</v>
      </c>
      <c r="AY23" s="1217">
        <f t="shared" ref="AY23" si="6">AY11+AY12+AY13+AY18+AY19</f>
        <v>516570</v>
      </c>
      <c r="BA23" s="1216"/>
      <c r="BC23" s="1217">
        <f t="shared" ref="BC23:BD23" si="7">BC11+BC12+BC13+BC18+BC19</f>
        <v>599110</v>
      </c>
      <c r="BD23" s="1217">
        <f t="shared" si="7"/>
        <v>581840</v>
      </c>
      <c r="BE23" s="1217">
        <f>BE11+BE12+BE13+BE18+BE19</f>
        <v>512080</v>
      </c>
      <c r="BF23" s="1217">
        <f>BF11+BF12+BF13+BF18+BF19</f>
        <v>512080</v>
      </c>
      <c r="BH23" s="1216"/>
      <c r="BJ23" s="1217">
        <f>BJ11+BJ12+BJ13+BJ18+BJ19</f>
        <v>558950</v>
      </c>
      <c r="BK23" s="1217">
        <f>BK11+BK12+BK13+BK18+BK19</f>
        <v>539900</v>
      </c>
      <c r="BL23" s="1217">
        <f>BL11+BL12+BL13+BL18+BL19</f>
        <v>494430</v>
      </c>
      <c r="BM23" s="1217">
        <f>BM11+BM12+BM13+BM18+BM19</f>
        <v>494430</v>
      </c>
      <c r="BQ23" s="1217">
        <f>BQ11+BQ12+BQ13+BQ18+BQ19</f>
        <v>554080</v>
      </c>
      <c r="BR23" s="1217">
        <f>BR11+BR12+BR13+BR18+BR19</f>
        <v>535210</v>
      </c>
      <c r="BS23" s="1217">
        <f t="shared" ref="BS23:BT23" si="8">BS11+BS12+BS13+BS18+BS19</f>
        <v>490110</v>
      </c>
      <c r="BT23" s="1217">
        <f t="shared" si="8"/>
        <v>490110</v>
      </c>
      <c r="BU23" s="1213"/>
    </row>
    <row r="24" spans="1:73" ht="12" thickBot="1">
      <c r="A24" s="1866"/>
      <c r="B24" s="1221" t="s">
        <v>396</v>
      </c>
      <c r="C24" s="1191"/>
      <c r="D24" s="1191"/>
      <c r="E24" s="1191"/>
      <c r="F24" s="1191"/>
      <c r="G24" s="1175"/>
      <c r="H24" s="1866"/>
      <c r="I24" s="1221" t="s">
        <v>396</v>
      </c>
      <c r="J24" s="1191"/>
      <c r="K24" s="1191"/>
      <c r="L24" s="1191"/>
      <c r="M24" s="1241"/>
      <c r="O24" s="1212"/>
      <c r="AQ24" s="1213"/>
      <c r="AS24" s="1212"/>
      <c r="BU24" s="1213"/>
    </row>
    <row r="25" spans="1:73" ht="12" thickBot="1">
      <c r="A25" s="1192" t="s">
        <v>207</v>
      </c>
      <c r="B25" s="1193" t="s">
        <v>397</v>
      </c>
      <c r="C25" s="1194">
        <v>8.0000000000000002E-3</v>
      </c>
      <c r="D25" s="1194">
        <v>8.0000000000000002E-3</v>
      </c>
      <c r="E25" s="1194">
        <v>8.0000000000000002E-3</v>
      </c>
      <c r="F25" s="1194">
        <v>8.0000000000000002E-3</v>
      </c>
      <c r="G25" s="1175"/>
      <c r="H25" s="1192" t="s">
        <v>207</v>
      </c>
      <c r="I25" s="1193" t="s">
        <v>397</v>
      </c>
      <c r="J25" s="1194">
        <v>8.0000000000000002E-3</v>
      </c>
      <c r="K25" s="1194">
        <v>8.0000000000000002E-3</v>
      </c>
      <c r="L25" s="1194">
        <v>8.0000000000000002E-3</v>
      </c>
      <c r="M25" s="1242">
        <v>8.0000000000000002E-3</v>
      </c>
      <c r="O25" s="1212"/>
      <c r="P25" s="1864" t="s">
        <v>1296</v>
      </c>
      <c r="Q25" s="1864"/>
      <c r="R25" s="1228"/>
      <c r="W25" s="1842" t="s">
        <v>1469</v>
      </c>
      <c r="X25" s="1842"/>
      <c r="AD25" s="1864" t="s">
        <v>1311</v>
      </c>
      <c r="AE25" s="1864"/>
      <c r="AK25" s="1842" t="s">
        <v>1470</v>
      </c>
      <c r="AL25" s="1842"/>
      <c r="AQ25" s="1213"/>
      <c r="AS25" s="1212"/>
      <c r="AT25" s="1864" t="s">
        <v>1296</v>
      </c>
      <c r="AU25" s="1864"/>
      <c r="AV25" s="1228"/>
      <c r="BA25" s="1842" t="s">
        <v>1469</v>
      </c>
      <c r="BB25" s="1842"/>
      <c r="BH25" s="1864" t="s">
        <v>1311</v>
      </c>
      <c r="BI25" s="1864"/>
      <c r="BO25" s="1842" t="s">
        <v>1470</v>
      </c>
      <c r="BP25" s="1842"/>
      <c r="BU25" s="1213"/>
    </row>
    <row r="26" spans="1:73">
      <c r="A26" s="1224"/>
      <c r="B26" s="1195"/>
      <c r="C26" s="1196"/>
      <c r="D26" s="1196"/>
      <c r="E26" s="1196"/>
      <c r="F26" s="1196"/>
      <c r="G26" s="1175"/>
      <c r="H26" s="1224"/>
      <c r="I26" s="1195"/>
      <c r="J26" s="1196"/>
      <c r="K26" s="1196"/>
      <c r="L26" s="1196"/>
      <c r="M26" s="1243"/>
      <c r="O26" s="1212"/>
      <c r="P26" s="1843" t="s">
        <v>1297</v>
      </c>
      <c r="Q26" s="1844"/>
      <c r="R26" s="1228"/>
      <c r="S26" s="1214"/>
      <c r="T26" s="1214"/>
      <c r="U26" s="1215" t="s">
        <v>1298</v>
      </c>
      <c r="W26" s="1843" t="s">
        <v>1297</v>
      </c>
      <c r="X26" s="1844"/>
      <c r="Y26" s="1214">
        <v>0.99139999999999995</v>
      </c>
      <c r="Z26" s="1214"/>
      <c r="AA26" s="1214"/>
      <c r="AB26" s="1215" t="s">
        <v>1298</v>
      </c>
      <c r="AD26" s="1843" t="s">
        <v>1297</v>
      </c>
      <c r="AE26" s="1844"/>
      <c r="AG26" s="1214"/>
      <c r="AH26" s="1214"/>
      <c r="AI26" s="1215" t="s">
        <v>1298</v>
      </c>
      <c r="AK26" s="1843" t="s">
        <v>1297</v>
      </c>
      <c r="AL26" s="1844"/>
      <c r="AM26" s="1214"/>
      <c r="AN26" s="1214"/>
      <c r="AO26" s="1214"/>
      <c r="AP26" s="1215" t="s">
        <v>1298</v>
      </c>
      <c r="AQ26" s="1213"/>
      <c r="AS26" s="1212"/>
      <c r="AT26" s="1843" t="s">
        <v>1297</v>
      </c>
      <c r="AU26" s="1844"/>
      <c r="AV26" s="1228"/>
      <c r="AW26" s="1214"/>
      <c r="AX26" s="1214"/>
      <c r="AY26" s="1215" t="s">
        <v>1298</v>
      </c>
      <c r="BA26" s="1843" t="s">
        <v>1297</v>
      </c>
      <c r="BB26" s="1844"/>
      <c r="BC26" s="1214">
        <v>0.99139999999999995</v>
      </c>
      <c r="BD26" s="1214"/>
      <c r="BE26" s="1214"/>
      <c r="BF26" s="1215" t="s">
        <v>1298</v>
      </c>
      <c r="BH26" s="1843" t="s">
        <v>1297</v>
      </c>
      <c r="BI26" s="1844"/>
      <c r="BK26" s="1214"/>
      <c r="BL26" s="1214"/>
      <c r="BM26" s="1215" t="s">
        <v>1298</v>
      </c>
      <c r="BO26" s="1843" t="s">
        <v>1297</v>
      </c>
      <c r="BP26" s="1844"/>
      <c r="BQ26" s="1214"/>
      <c r="BR26" s="1214"/>
      <c r="BS26" s="1214"/>
      <c r="BT26" s="1215" t="s">
        <v>1298</v>
      </c>
      <c r="BU26" s="1213"/>
    </row>
    <row r="27" spans="1:73">
      <c r="C27" s="1231">
        <f ca="1">C11+C12+C13+C18+C19</f>
        <v>646273.5</v>
      </c>
      <c r="D27" s="1231">
        <f t="shared" ref="D27:F27" ca="1" si="9">D11+D12+D13+D18+D19</f>
        <v>0</v>
      </c>
      <c r="E27" s="1231">
        <f t="shared" ca="1" si="9"/>
        <v>0</v>
      </c>
      <c r="F27" s="1231">
        <f t="shared" ca="1" si="9"/>
        <v>0</v>
      </c>
      <c r="J27" s="1231">
        <f ca="1">J11+J12+J13+J18+J19</f>
        <v>1157560</v>
      </c>
      <c r="K27" s="1231">
        <f t="shared" ref="K27:M27" ca="1" si="10">K11+K12+K13+K18+K19</f>
        <v>1126830</v>
      </c>
      <c r="L27" s="1231">
        <f t="shared" ca="1" si="10"/>
        <v>1017640</v>
      </c>
      <c r="M27" s="1231">
        <f t="shared" ca="1" si="10"/>
        <v>1017640</v>
      </c>
      <c r="O27" s="1212"/>
      <c r="P27" s="1198" t="s">
        <v>409</v>
      </c>
      <c r="Q27" s="1198" t="s">
        <v>410</v>
      </c>
      <c r="R27" s="1198" t="s">
        <v>375</v>
      </c>
      <c r="S27" s="1198" t="s">
        <v>411</v>
      </c>
      <c r="T27" s="1198" t="s">
        <v>1299</v>
      </c>
      <c r="U27" s="1198" t="s">
        <v>1300</v>
      </c>
      <c r="W27" s="1198" t="s">
        <v>409</v>
      </c>
      <c r="X27" s="1198" t="s">
        <v>410</v>
      </c>
      <c r="Y27" s="1198" t="s">
        <v>375</v>
      </c>
      <c r="Z27" s="1198" t="s">
        <v>411</v>
      </c>
      <c r="AA27" s="1198" t="s">
        <v>1299</v>
      </c>
      <c r="AB27" s="1198" t="s">
        <v>1300</v>
      </c>
      <c r="AD27" s="1198" t="s">
        <v>409</v>
      </c>
      <c r="AE27" s="1198" t="s">
        <v>410</v>
      </c>
      <c r="AF27" s="1198" t="s">
        <v>375</v>
      </c>
      <c r="AG27" s="1198" t="s">
        <v>411</v>
      </c>
      <c r="AH27" s="1198" t="s">
        <v>1299</v>
      </c>
      <c r="AI27" s="1198" t="s">
        <v>1300</v>
      </c>
      <c r="AK27" s="1198" t="s">
        <v>409</v>
      </c>
      <c r="AL27" s="1198" t="s">
        <v>410</v>
      </c>
      <c r="AM27" s="1198" t="s">
        <v>375</v>
      </c>
      <c r="AN27" s="1198" t="s">
        <v>411</v>
      </c>
      <c r="AO27" s="1198" t="s">
        <v>1299</v>
      </c>
      <c r="AP27" s="1198" t="s">
        <v>1300</v>
      </c>
      <c r="AQ27" s="1213"/>
      <c r="AS27" s="1212"/>
      <c r="AT27" s="1198" t="s">
        <v>409</v>
      </c>
      <c r="AU27" s="1198" t="s">
        <v>410</v>
      </c>
      <c r="AV27" s="1198" t="s">
        <v>375</v>
      </c>
      <c r="AW27" s="1198" t="s">
        <v>411</v>
      </c>
      <c r="AX27" s="1198" t="s">
        <v>1299</v>
      </c>
      <c r="AY27" s="1198" t="s">
        <v>1300</v>
      </c>
      <c r="BA27" s="1198" t="s">
        <v>409</v>
      </c>
      <c r="BB27" s="1198" t="s">
        <v>410</v>
      </c>
      <c r="BC27" s="1198" t="s">
        <v>375</v>
      </c>
      <c r="BD27" s="1198" t="s">
        <v>411</v>
      </c>
      <c r="BE27" s="1198" t="s">
        <v>1299</v>
      </c>
      <c r="BF27" s="1198" t="s">
        <v>1300</v>
      </c>
      <c r="BH27" s="1198" t="s">
        <v>409</v>
      </c>
      <c r="BI27" s="1198" t="s">
        <v>410</v>
      </c>
      <c r="BJ27" s="1198" t="s">
        <v>375</v>
      </c>
      <c r="BK27" s="1198" t="s">
        <v>411</v>
      </c>
      <c r="BL27" s="1198" t="s">
        <v>1299</v>
      </c>
      <c r="BM27" s="1198" t="s">
        <v>1300</v>
      </c>
      <c r="BO27" s="1198" t="s">
        <v>409</v>
      </c>
      <c r="BP27" s="1198" t="s">
        <v>410</v>
      </c>
      <c r="BQ27" s="1198" t="s">
        <v>375</v>
      </c>
      <c r="BR27" s="1198" t="s">
        <v>411</v>
      </c>
      <c r="BS27" s="1198" t="s">
        <v>1299</v>
      </c>
      <c r="BT27" s="1198" t="s">
        <v>1300</v>
      </c>
      <c r="BU27" s="1213"/>
    </row>
    <row r="28" spans="1:73">
      <c r="O28" s="1212"/>
      <c r="P28" s="1199" t="s">
        <v>1301</v>
      </c>
      <c r="Q28" s="1199" t="s">
        <v>1302</v>
      </c>
      <c r="R28" s="1200">
        <v>296420</v>
      </c>
      <c r="S28" s="1200">
        <v>284540</v>
      </c>
      <c r="T28" s="1200">
        <v>219650</v>
      </c>
      <c r="U28" s="1200">
        <v>219650</v>
      </c>
      <c r="W28" s="1199" t="s">
        <v>1301</v>
      </c>
      <c r="X28" s="1199" t="s">
        <v>1302</v>
      </c>
      <c r="Y28" s="1200">
        <v>293860</v>
      </c>
      <c r="Z28" s="1200">
        <v>282080</v>
      </c>
      <c r="AA28" s="1200">
        <v>217750</v>
      </c>
      <c r="AB28" s="1200">
        <v>217750</v>
      </c>
      <c r="AD28" s="1199" t="s">
        <v>1301</v>
      </c>
      <c r="AE28" s="1199" t="s">
        <v>1302</v>
      </c>
      <c r="AF28" s="1200">
        <v>226580</v>
      </c>
      <c r="AG28" s="1200">
        <v>220840</v>
      </c>
      <c r="AH28" s="1200">
        <v>179560</v>
      </c>
      <c r="AI28" s="1200">
        <v>179560</v>
      </c>
      <c r="AK28" s="1199" t="s">
        <v>1301</v>
      </c>
      <c r="AL28" s="1199" t="s">
        <v>1302</v>
      </c>
      <c r="AM28" s="1200">
        <v>224620</v>
      </c>
      <c r="AN28" s="1200">
        <v>218930</v>
      </c>
      <c r="AO28" s="1200">
        <v>178010</v>
      </c>
      <c r="AP28" s="1200">
        <v>178010</v>
      </c>
      <c r="AQ28" s="1213"/>
      <c r="AS28" s="1212"/>
      <c r="AT28" s="1199" t="s">
        <v>1301</v>
      </c>
      <c r="AU28" s="1199" t="s">
        <v>1302</v>
      </c>
      <c r="AV28" s="1200">
        <v>296420</v>
      </c>
      <c r="AW28" s="1200">
        <v>284540</v>
      </c>
      <c r="AX28" s="1200">
        <v>219650</v>
      </c>
      <c r="AY28" s="1200">
        <v>219650</v>
      </c>
      <c r="BA28" s="1199" t="s">
        <v>1301</v>
      </c>
      <c r="BB28" s="1199" t="s">
        <v>1302</v>
      </c>
      <c r="BC28" s="1200">
        <v>293860</v>
      </c>
      <c r="BD28" s="1200">
        <v>282080</v>
      </c>
      <c r="BE28" s="1200">
        <v>217750</v>
      </c>
      <c r="BF28" s="1200">
        <v>217750</v>
      </c>
      <c r="BH28" s="1199" t="s">
        <v>1301</v>
      </c>
      <c r="BI28" s="1199" t="s">
        <v>1302</v>
      </c>
      <c r="BJ28" s="1200">
        <v>226580</v>
      </c>
      <c r="BK28" s="1200">
        <v>220840</v>
      </c>
      <c r="BL28" s="1200">
        <v>179560</v>
      </c>
      <c r="BM28" s="1200">
        <v>179560</v>
      </c>
      <c r="BO28" s="1199" t="s">
        <v>1301</v>
      </c>
      <c r="BP28" s="1199" t="s">
        <v>1302</v>
      </c>
      <c r="BQ28" s="1200">
        <v>224620</v>
      </c>
      <c r="BR28" s="1200">
        <v>218930</v>
      </c>
      <c r="BS28" s="1200">
        <v>178010</v>
      </c>
      <c r="BT28" s="1200">
        <v>178010</v>
      </c>
      <c r="BU28" s="1213"/>
    </row>
    <row r="29" spans="1:73">
      <c r="O29" s="1212"/>
      <c r="P29" s="1199" t="s">
        <v>1303</v>
      </c>
      <c r="Q29" s="1199" t="s">
        <v>412</v>
      </c>
      <c r="R29" s="1200">
        <v>237130</v>
      </c>
      <c r="S29" s="1200">
        <v>293960</v>
      </c>
      <c r="T29" s="1200">
        <v>208680</v>
      </c>
      <c r="U29" s="1200">
        <v>208680</v>
      </c>
      <c r="W29" s="1199" t="s">
        <v>1303</v>
      </c>
      <c r="X29" s="1199" t="s">
        <v>412</v>
      </c>
      <c r="Y29" s="1200">
        <v>235080</v>
      </c>
      <c r="Z29" s="1200">
        <v>291420</v>
      </c>
      <c r="AA29" s="1200">
        <v>206870</v>
      </c>
      <c r="AB29" s="1200">
        <v>206870</v>
      </c>
      <c r="AD29" s="1199" t="s">
        <v>1303</v>
      </c>
      <c r="AE29" s="1199" t="s">
        <v>412</v>
      </c>
      <c r="AF29" s="1200">
        <v>181130</v>
      </c>
      <c r="AG29" s="1200">
        <v>228180</v>
      </c>
      <c r="AH29" s="1200">
        <v>170700</v>
      </c>
      <c r="AI29" s="1200">
        <v>170700</v>
      </c>
      <c r="AK29" s="1199" t="s">
        <v>1303</v>
      </c>
      <c r="AL29" s="1199" t="s">
        <v>412</v>
      </c>
      <c r="AM29" s="1200">
        <v>179560</v>
      </c>
      <c r="AN29" s="1200">
        <v>226210</v>
      </c>
      <c r="AO29" s="1200">
        <v>169230</v>
      </c>
      <c r="AP29" s="1200">
        <v>169230</v>
      </c>
      <c r="AQ29" s="1213"/>
      <c r="AS29" s="1212"/>
      <c r="AT29" s="1199" t="s">
        <v>1303</v>
      </c>
      <c r="AU29" s="1199" t="s">
        <v>412</v>
      </c>
      <c r="AV29" s="1200">
        <v>237130</v>
      </c>
      <c r="AW29" s="1200">
        <v>293960</v>
      </c>
      <c r="AX29" s="1200">
        <v>208680</v>
      </c>
      <c r="AY29" s="1200">
        <v>208680</v>
      </c>
      <c r="BA29" s="1199" t="s">
        <v>1303</v>
      </c>
      <c r="BB29" s="1199" t="s">
        <v>412</v>
      </c>
      <c r="BC29" s="1200">
        <v>235080</v>
      </c>
      <c r="BD29" s="1200">
        <v>291420</v>
      </c>
      <c r="BE29" s="1200">
        <v>206870</v>
      </c>
      <c r="BF29" s="1200">
        <v>206870</v>
      </c>
      <c r="BH29" s="1199" t="s">
        <v>1303</v>
      </c>
      <c r="BI29" s="1199" t="s">
        <v>412</v>
      </c>
      <c r="BJ29" s="1200">
        <v>181130</v>
      </c>
      <c r="BK29" s="1200">
        <v>228180</v>
      </c>
      <c r="BL29" s="1200">
        <v>170700</v>
      </c>
      <c r="BM29" s="1200">
        <v>170700</v>
      </c>
      <c r="BO29" s="1199" t="s">
        <v>1303</v>
      </c>
      <c r="BP29" s="1199" t="s">
        <v>412</v>
      </c>
      <c r="BQ29" s="1200">
        <v>179560</v>
      </c>
      <c r="BR29" s="1200">
        <v>226210</v>
      </c>
      <c r="BS29" s="1200">
        <v>169230</v>
      </c>
      <c r="BT29" s="1200">
        <v>169230</v>
      </c>
      <c r="BU29" s="1213"/>
    </row>
    <row r="30" spans="1:73">
      <c r="O30" s="1212"/>
      <c r="P30" s="1859" t="s">
        <v>255</v>
      </c>
      <c r="Q30" s="1199" t="s">
        <v>413</v>
      </c>
      <c r="R30" s="1200">
        <v>524650</v>
      </c>
      <c r="S30" s="1200">
        <v>474600</v>
      </c>
      <c r="T30" s="1200">
        <v>509920</v>
      </c>
      <c r="U30" s="1200">
        <v>509920</v>
      </c>
      <c r="W30" s="1859" t="s">
        <v>255</v>
      </c>
      <c r="X30" s="1199" t="s">
        <v>413</v>
      </c>
      <c r="Y30" s="1200">
        <v>520110</v>
      </c>
      <c r="Z30" s="1200">
        <v>470500</v>
      </c>
      <c r="AA30" s="1200">
        <v>505520</v>
      </c>
      <c r="AB30" s="1200">
        <v>505520</v>
      </c>
      <c r="AD30" s="1859" t="s">
        <v>255</v>
      </c>
      <c r="AE30" s="1199" t="s">
        <v>413</v>
      </c>
      <c r="AF30" s="1200">
        <v>400660</v>
      </c>
      <c r="AG30" s="1200">
        <v>368160</v>
      </c>
      <c r="AH30" s="1200">
        <v>417100</v>
      </c>
      <c r="AI30" s="1200">
        <v>417100</v>
      </c>
      <c r="AK30" s="1859" t="s">
        <v>255</v>
      </c>
      <c r="AL30" s="1199" t="s">
        <v>413</v>
      </c>
      <c r="AM30" s="1200">
        <v>397200</v>
      </c>
      <c r="AN30" s="1200">
        <v>364980</v>
      </c>
      <c r="AO30" s="1200">
        <v>413500</v>
      </c>
      <c r="AP30" s="1200">
        <v>413500</v>
      </c>
      <c r="AQ30" s="1213"/>
      <c r="AS30" s="1212"/>
      <c r="AT30" s="1859" t="s">
        <v>255</v>
      </c>
      <c r="AU30" s="1199" t="s">
        <v>413</v>
      </c>
      <c r="AV30" s="1200">
        <v>524650</v>
      </c>
      <c r="AW30" s="1200">
        <v>474600</v>
      </c>
      <c r="AX30" s="1200">
        <v>509920</v>
      </c>
      <c r="AY30" s="1200">
        <v>509920</v>
      </c>
      <c r="BA30" s="1859" t="s">
        <v>255</v>
      </c>
      <c r="BB30" s="1199" t="s">
        <v>413</v>
      </c>
      <c r="BC30" s="1200">
        <v>520110</v>
      </c>
      <c r="BD30" s="1200">
        <v>470500</v>
      </c>
      <c r="BE30" s="1200">
        <v>505520</v>
      </c>
      <c r="BF30" s="1200">
        <v>505520</v>
      </c>
      <c r="BH30" s="1859" t="s">
        <v>255</v>
      </c>
      <c r="BI30" s="1199" t="s">
        <v>413</v>
      </c>
      <c r="BJ30" s="1200">
        <v>400660</v>
      </c>
      <c r="BK30" s="1200">
        <v>368160</v>
      </c>
      <c r="BL30" s="1200">
        <v>417100</v>
      </c>
      <c r="BM30" s="1200">
        <v>417100</v>
      </c>
      <c r="BO30" s="1859" t="s">
        <v>255</v>
      </c>
      <c r="BP30" s="1199" t="s">
        <v>413</v>
      </c>
      <c r="BQ30" s="1200">
        <v>397200</v>
      </c>
      <c r="BR30" s="1200">
        <v>364980</v>
      </c>
      <c r="BS30" s="1200">
        <v>413500</v>
      </c>
      <c r="BT30" s="1200">
        <v>413500</v>
      </c>
      <c r="BU30" s="1213"/>
    </row>
    <row r="31" spans="1:73">
      <c r="O31" s="1212"/>
      <c r="P31" s="1861"/>
      <c r="Q31" s="1199" t="s">
        <v>414</v>
      </c>
      <c r="R31" s="1200">
        <v>548760</v>
      </c>
      <c r="S31" s="1200">
        <v>496410</v>
      </c>
      <c r="T31" s="1200">
        <v>533360</v>
      </c>
      <c r="U31" s="1200">
        <v>533360</v>
      </c>
      <c r="W31" s="1861"/>
      <c r="X31" s="1199" t="s">
        <v>414</v>
      </c>
      <c r="Y31" s="1200">
        <v>544010</v>
      </c>
      <c r="Z31" s="1200">
        <v>492120</v>
      </c>
      <c r="AA31" s="1200">
        <v>528750</v>
      </c>
      <c r="AB31" s="1200">
        <v>528750</v>
      </c>
      <c r="AD31" s="1861"/>
      <c r="AE31" s="1199" t="s">
        <v>414</v>
      </c>
      <c r="AF31" s="1200">
        <v>419080</v>
      </c>
      <c r="AG31" s="1200">
        <v>385080</v>
      </c>
      <c r="AH31" s="1200">
        <v>436270</v>
      </c>
      <c r="AI31" s="1200">
        <v>436270</v>
      </c>
      <c r="AK31" s="1861"/>
      <c r="AL31" s="1199" t="s">
        <v>414</v>
      </c>
      <c r="AM31" s="1200">
        <v>415450</v>
      </c>
      <c r="AN31" s="1200">
        <v>381750</v>
      </c>
      <c r="AO31" s="1200">
        <v>432500</v>
      </c>
      <c r="AP31" s="1200">
        <v>432500</v>
      </c>
      <c r="AQ31" s="1213"/>
      <c r="AS31" s="1212"/>
      <c r="AT31" s="1861"/>
      <c r="AU31" s="1199" t="s">
        <v>414</v>
      </c>
      <c r="AV31" s="1200">
        <v>548760</v>
      </c>
      <c r="AW31" s="1200">
        <v>496410</v>
      </c>
      <c r="AX31" s="1200">
        <v>533360</v>
      </c>
      <c r="AY31" s="1200">
        <v>533360</v>
      </c>
      <c r="BA31" s="1861"/>
      <c r="BB31" s="1199" t="s">
        <v>414</v>
      </c>
      <c r="BC31" s="1200">
        <v>544010</v>
      </c>
      <c r="BD31" s="1200">
        <v>492120</v>
      </c>
      <c r="BE31" s="1200">
        <v>528750</v>
      </c>
      <c r="BF31" s="1200">
        <v>528750</v>
      </c>
      <c r="BH31" s="1861"/>
      <c r="BI31" s="1199" t="s">
        <v>414</v>
      </c>
      <c r="BJ31" s="1200">
        <v>419080</v>
      </c>
      <c r="BK31" s="1200">
        <v>385080</v>
      </c>
      <c r="BL31" s="1200">
        <v>436270</v>
      </c>
      <c r="BM31" s="1200">
        <v>436270</v>
      </c>
      <c r="BO31" s="1861"/>
      <c r="BP31" s="1199" t="s">
        <v>414</v>
      </c>
      <c r="BQ31" s="1200">
        <v>415450</v>
      </c>
      <c r="BR31" s="1200">
        <v>381750</v>
      </c>
      <c r="BS31" s="1200">
        <v>432500</v>
      </c>
      <c r="BT31" s="1200">
        <v>432500</v>
      </c>
      <c r="BU31" s="1213"/>
    </row>
    <row r="32" spans="1:73">
      <c r="O32" s="1212"/>
      <c r="P32" s="1860"/>
      <c r="Q32" s="1199" t="s">
        <v>1304</v>
      </c>
      <c r="R32" s="1200">
        <v>562860</v>
      </c>
      <c r="S32" s="1200">
        <v>509170</v>
      </c>
      <c r="T32" s="1200">
        <v>547070</v>
      </c>
      <c r="U32" s="1200">
        <v>547070</v>
      </c>
      <c r="W32" s="1860"/>
      <c r="X32" s="1199" t="s">
        <v>1304</v>
      </c>
      <c r="Y32" s="1200">
        <v>557990</v>
      </c>
      <c r="Z32" s="1200">
        <v>504770</v>
      </c>
      <c r="AA32" s="1200">
        <v>542350</v>
      </c>
      <c r="AB32" s="1200">
        <v>542350</v>
      </c>
      <c r="AD32" s="1860"/>
      <c r="AE32" s="1199" t="s">
        <v>1304</v>
      </c>
      <c r="AF32" s="1200">
        <v>429850</v>
      </c>
      <c r="AG32" s="1200">
        <v>394980</v>
      </c>
      <c r="AH32" s="1200">
        <v>447490</v>
      </c>
      <c r="AI32" s="1200">
        <v>447490</v>
      </c>
      <c r="AK32" s="1860"/>
      <c r="AL32" s="1199" t="s">
        <v>1304</v>
      </c>
      <c r="AM32" s="1200">
        <v>426130</v>
      </c>
      <c r="AN32" s="1200">
        <v>391570</v>
      </c>
      <c r="AO32" s="1200">
        <v>443620</v>
      </c>
      <c r="AP32" s="1200">
        <v>443620</v>
      </c>
      <c r="AQ32" s="1213"/>
      <c r="AS32" s="1212"/>
      <c r="AT32" s="1860"/>
      <c r="AU32" s="1199" t="s">
        <v>1304</v>
      </c>
      <c r="AV32" s="1200">
        <v>562860</v>
      </c>
      <c r="AW32" s="1200">
        <v>509170</v>
      </c>
      <c r="AX32" s="1200">
        <v>547070</v>
      </c>
      <c r="AY32" s="1200">
        <v>547070</v>
      </c>
      <c r="BA32" s="1860"/>
      <c r="BB32" s="1199" t="s">
        <v>1304</v>
      </c>
      <c r="BC32" s="1200">
        <v>557990</v>
      </c>
      <c r="BD32" s="1200">
        <v>504770</v>
      </c>
      <c r="BE32" s="1200">
        <v>542350</v>
      </c>
      <c r="BF32" s="1200">
        <v>542350</v>
      </c>
      <c r="BH32" s="1860"/>
      <c r="BI32" s="1199" t="s">
        <v>1304</v>
      </c>
      <c r="BJ32" s="1200">
        <v>429850</v>
      </c>
      <c r="BK32" s="1200">
        <v>394980</v>
      </c>
      <c r="BL32" s="1200">
        <v>447490</v>
      </c>
      <c r="BM32" s="1200">
        <v>447490</v>
      </c>
      <c r="BO32" s="1860"/>
      <c r="BP32" s="1199" t="s">
        <v>1304</v>
      </c>
      <c r="BQ32" s="1200">
        <v>426130</v>
      </c>
      <c r="BR32" s="1200">
        <v>391570</v>
      </c>
      <c r="BS32" s="1200">
        <v>443620</v>
      </c>
      <c r="BT32" s="1200">
        <v>443620</v>
      </c>
      <c r="BU32" s="1213"/>
    </row>
    <row r="33" spans="15:73">
      <c r="O33" s="1212"/>
      <c r="P33" s="1859" t="s">
        <v>1467</v>
      </c>
      <c r="Q33" s="1199" t="s">
        <v>1305</v>
      </c>
      <c r="R33" s="1200">
        <v>23230</v>
      </c>
      <c r="S33" s="1200">
        <v>11620</v>
      </c>
      <c r="T33" s="1200">
        <v>17070</v>
      </c>
      <c r="U33" s="1200">
        <v>17070</v>
      </c>
      <c r="W33" s="1859" t="s">
        <v>1467</v>
      </c>
      <c r="X33" s="1199" t="s">
        <v>1305</v>
      </c>
      <c r="Y33" s="1200">
        <v>22970</v>
      </c>
      <c r="Z33" s="1200">
        <v>11490</v>
      </c>
      <c r="AA33" s="1200">
        <v>16880</v>
      </c>
      <c r="AB33" s="1200">
        <v>16880</v>
      </c>
      <c r="AD33" s="1859" t="s">
        <v>1467</v>
      </c>
      <c r="AE33" s="1199" t="s">
        <v>1305</v>
      </c>
      <c r="AF33" s="1200">
        <v>17740</v>
      </c>
      <c r="AG33" s="1200">
        <v>9020</v>
      </c>
      <c r="AH33" s="1200">
        <v>13970</v>
      </c>
      <c r="AI33" s="1200">
        <v>13970</v>
      </c>
      <c r="AK33" s="1859" t="s">
        <v>1467</v>
      </c>
      <c r="AL33" s="1199" t="s">
        <v>1305</v>
      </c>
      <c r="AM33" s="1200">
        <v>17540</v>
      </c>
      <c r="AN33" s="1200">
        <v>8920</v>
      </c>
      <c r="AO33" s="1200">
        <v>13810</v>
      </c>
      <c r="AP33" s="1200">
        <v>13810</v>
      </c>
      <c r="AQ33" s="1213"/>
      <c r="AS33" s="1212"/>
      <c r="AT33" s="1859" t="s">
        <v>1467</v>
      </c>
      <c r="AU33" s="1199" t="s">
        <v>1305</v>
      </c>
      <c r="AV33" s="1200">
        <v>23230</v>
      </c>
      <c r="AW33" s="1200">
        <v>11620</v>
      </c>
      <c r="AX33" s="1200">
        <v>17070</v>
      </c>
      <c r="AY33" s="1200">
        <v>17070</v>
      </c>
      <c r="BA33" s="1859" t="s">
        <v>1467</v>
      </c>
      <c r="BB33" s="1199" t="s">
        <v>1305</v>
      </c>
      <c r="BC33" s="1200">
        <v>22970</v>
      </c>
      <c r="BD33" s="1200">
        <v>11490</v>
      </c>
      <c r="BE33" s="1200">
        <v>16880</v>
      </c>
      <c r="BF33" s="1200">
        <v>16880</v>
      </c>
      <c r="BH33" s="1859" t="s">
        <v>1467</v>
      </c>
      <c r="BI33" s="1199" t="s">
        <v>1305</v>
      </c>
      <c r="BJ33" s="1200">
        <v>17740</v>
      </c>
      <c r="BK33" s="1200">
        <v>9020</v>
      </c>
      <c r="BL33" s="1200">
        <v>13970</v>
      </c>
      <c r="BM33" s="1200">
        <v>13970</v>
      </c>
      <c r="BO33" s="1859" t="s">
        <v>1467</v>
      </c>
      <c r="BP33" s="1199" t="s">
        <v>1305</v>
      </c>
      <c r="BQ33" s="1200">
        <v>17540</v>
      </c>
      <c r="BR33" s="1200">
        <v>8920</v>
      </c>
      <c r="BS33" s="1200">
        <v>13810</v>
      </c>
      <c r="BT33" s="1200">
        <v>13810</v>
      </c>
      <c r="BU33" s="1213"/>
    </row>
    <row r="34" spans="15:73">
      <c r="O34" s="1212"/>
      <c r="P34" s="1861"/>
      <c r="Q34" s="1199" t="s">
        <v>1306</v>
      </c>
      <c r="R34" s="1200">
        <v>29970</v>
      </c>
      <c r="S34" s="1200">
        <v>15000</v>
      </c>
      <c r="T34" s="1200">
        <v>22030</v>
      </c>
      <c r="U34" s="1200">
        <v>22030</v>
      </c>
      <c r="W34" s="1861"/>
      <c r="X34" s="1199" t="s">
        <v>1306</v>
      </c>
      <c r="Y34" s="1200">
        <v>29630</v>
      </c>
      <c r="Z34" s="1200">
        <v>14830</v>
      </c>
      <c r="AA34" s="1200">
        <v>21770</v>
      </c>
      <c r="AB34" s="1200">
        <v>21770</v>
      </c>
      <c r="AD34" s="1861"/>
      <c r="AE34" s="1199" t="s">
        <v>1306</v>
      </c>
      <c r="AF34" s="1200">
        <v>22890</v>
      </c>
      <c r="AG34" s="1200">
        <v>11640</v>
      </c>
      <c r="AH34" s="1200">
        <v>18020</v>
      </c>
      <c r="AI34" s="1200">
        <v>18020</v>
      </c>
      <c r="AK34" s="1861"/>
      <c r="AL34" s="1199" t="s">
        <v>1306</v>
      </c>
      <c r="AM34" s="1200">
        <v>22630</v>
      </c>
      <c r="AN34" s="1200">
        <v>11510</v>
      </c>
      <c r="AO34" s="1200">
        <v>17810</v>
      </c>
      <c r="AP34" s="1200">
        <v>17810</v>
      </c>
      <c r="AQ34" s="1213"/>
      <c r="AS34" s="1212"/>
      <c r="AT34" s="1861"/>
      <c r="AU34" s="1199" t="s">
        <v>1306</v>
      </c>
      <c r="AV34" s="1200">
        <v>29970</v>
      </c>
      <c r="AW34" s="1200">
        <v>15000</v>
      </c>
      <c r="AX34" s="1200">
        <v>22030</v>
      </c>
      <c r="AY34" s="1200">
        <v>22030</v>
      </c>
      <c r="BA34" s="1861"/>
      <c r="BB34" s="1199" t="s">
        <v>1306</v>
      </c>
      <c r="BC34" s="1200">
        <v>29630</v>
      </c>
      <c r="BD34" s="1200">
        <v>14830</v>
      </c>
      <c r="BE34" s="1200">
        <v>21770</v>
      </c>
      <c r="BF34" s="1200">
        <v>21770</v>
      </c>
      <c r="BH34" s="1861"/>
      <c r="BI34" s="1199" t="s">
        <v>1306</v>
      </c>
      <c r="BJ34" s="1200">
        <v>22890</v>
      </c>
      <c r="BK34" s="1200">
        <v>11640</v>
      </c>
      <c r="BL34" s="1200">
        <v>18020</v>
      </c>
      <c r="BM34" s="1200">
        <v>18020</v>
      </c>
      <c r="BO34" s="1861"/>
      <c r="BP34" s="1199" t="s">
        <v>1306</v>
      </c>
      <c r="BQ34" s="1200">
        <v>22630</v>
      </c>
      <c r="BR34" s="1200">
        <v>11510</v>
      </c>
      <c r="BS34" s="1200">
        <v>17810</v>
      </c>
      <c r="BT34" s="1200">
        <v>17810</v>
      </c>
      <c r="BU34" s="1213"/>
    </row>
    <row r="35" spans="15:73">
      <c r="O35" s="1212"/>
      <c r="P35" s="1860"/>
      <c r="Q35" s="1199" t="s">
        <v>413</v>
      </c>
      <c r="R35" s="1200">
        <v>45500</v>
      </c>
      <c r="S35" s="1200">
        <v>22760</v>
      </c>
      <c r="T35" s="1200">
        <v>33430</v>
      </c>
      <c r="U35" s="1200">
        <v>33430</v>
      </c>
      <c r="W35" s="1860"/>
      <c r="X35" s="1199" t="s">
        <v>413</v>
      </c>
      <c r="Y35" s="1200">
        <v>44980</v>
      </c>
      <c r="Z35" s="1200">
        <v>22500</v>
      </c>
      <c r="AA35" s="1200">
        <v>33050</v>
      </c>
      <c r="AB35" s="1200">
        <v>33050</v>
      </c>
      <c r="AD35" s="1860"/>
      <c r="AE35" s="1199" t="s">
        <v>413</v>
      </c>
      <c r="AF35" s="1200">
        <v>34750</v>
      </c>
      <c r="AG35" s="1200">
        <v>17670</v>
      </c>
      <c r="AH35" s="1200">
        <v>27360</v>
      </c>
      <c r="AI35" s="1200">
        <v>27360</v>
      </c>
      <c r="AK35" s="1860"/>
      <c r="AL35" s="1199" t="s">
        <v>413</v>
      </c>
      <c r="AM35" s="1200">
        <v>34350</v>
      </c>
      <c r="AN35" s="1200">
        <v>17460</v>
      </c>
      <c r="AO35" s="1200">
        <v>27040</v>
      </c>
      <c r="AP35" s="1200">
        <v>27040</v>
      </c>
      <c r="AQ35" s="1213"/>
      <c r="AS35" s="1212"/>
      <c r="AT35" s="1860"/>
      <c r="AU35" s="1199" t="s">
        <v>413</v>
      </c>
      <c r="AV35" s="1200">
        <v>45500</v>
      </c>
      <c r="AW35" s="1200">
        <v>22760</v>
      </c>
      <c r="AX35" s="1200">
        <v>33430</v>
      </c>
      <c r="AY35" s="1200">
        <v>33430</v>
      </c>
      <c r="BA35" s="1860"/>
      <c r="BB35" s="1199" t="s">
        <v>413</v>
      </c>
      <c r="BC35" s="1200">
        <v>44980</v>
      </c>
      <c r="BD35" s="1200">
        <v>22500</v>
      </c>
      <c r="BE35" s="1200">
        <v>33050</v>
      </c>
      <c r="BF35" s="1200">
        <v>33050</v>
      </c>
      <c r="BH35" s="1860"/>
      <c r="BI35" s="1199" t="s">
        <v>413</v>
      </c>
      <c r="BJ35" s="1200">
        <v>34750</v>
      </c>
      <c r="BK35" s="1200">
        <v>17670</v>
      </c>
      <c r="BL35" s="1200">
        <v>27360</v>
      </c>
      <c r="BM35" s="1200">
        <v>27360</v>
      </c>
      <c r="BO35" s="1860"/>
      <c r="BP35" s="1199" t="s">
        <v>413</v>
      </c>
      <c r="BQ35" s="1200">
        <v>34350</v>
      </c>
      <c r="BR35" s="1200">
        <v>17460</v>
      </c>
      <c r="BS35" s="1200">
        <v>27040</v>
      </c>
      <c r="BT35" s="1200">
        <v>27040</v>
      </c>
      <c r="BU35" s="1213"/>
    </row>
    <row r="36" spans="15:73">
      <c r="O36" s="1212"/>
      <c r="P36" s="1199" t="s">
        <v>416</v>
      </c>
      <c r="Q36" s="1199" t="s">
        <v>414</v>
      </c>
      <c r="R36" s="1201">
        <v>53860</v>
      </c>
      <c r="S36" s="1201">
        <v>50970</v>
      </c>
      <c r="T36" s="1201">
        <v>45960</v>
      </c>
      <c r="U36" s="1201">
        <v>45960</v>
      </c>
      <c r="W36" s="1199" t="s">
        <v>416</v>
      </c>
      <c r="X36" s="1199" t="s">
        <v>414</v>
      </c>
      <c r="Y36" s="1201">
        <v>53400</v>
      </c>
      <c r="Z36" s="1201">
        <v>50530</v>
      </c>
      <c r="AA36" s="1201">
        <v>45570</v>
      </c>
      <c r="AB36" s="1201">
        <v>45570</v>
      </c>
      <c r="AD36" s="1199" t="s">
        <v>416</v>
      </c>
      <c r="AE36" s="1199" t="s">
        <v>414</v>
      </c>
      <c r="AF36" s="1201">
        <v>41150</v>
      </c>
      <c r="AG36" s="1201">
        <v>39570</v>
      </c>
      <c r="AH36" s="1201">
        <v>37600</v>
      </c>
      <c r="AI36" s="1201">
        <v>37600</v>
      </c>
      <c r="AK36" s="1199" t="s">
        <v>416</v>
      </c>
      <c r="AL36" s="1199" t="s">
        <v>414</v>
      </c>
      <c r="AM36" s="1201">
        <v>40790</v>
      </c>
      <c r="AN36" s="1201">
        <v>39230</v>
      </c>
      <c r="AO36" s="1201">
        <v>37280</v>
      </c>
      <c r="AP36" s="1201">
        <v>37280</v>
      </c>
      <c r="AQ36" s="1213"/>
      <c r="AS36" s="1212"/>
      <c r="AT36" s="1199" t="s">
        <v>416</v>
      </c>
      <c r="AU36" s="1199" t="s">
        <v>414</v>
      </c>
      <c r="AV36" s="1201">
        <v>53860</v>
      </c>
      <c r="AW36" s="1201">
        <v>50970</v>
      </c>
      <c r="AX36" s="1201">
        <v>45960</v>
      </c>
      <c r="AY36" s="1201">
        <v>45960</v>
      </c>
      <c r="BA36" s="1199" t="s">
        <v>416</v>
      </c>
      <c r="BB36" s="1199" t="s">
        <v>414</v>
      </c>
      <c r="BC36" s="1201">
        <v>53400</v>
      </c>
      <c r="BD36" s="1201">
        <v>50530</v>
      </c>
      <c r="BE36" s="1201">
        <v>45570</v>
      </c>
      <c r="BF36" s="1201">
        <v>45570</v>
      </c>
      <c r="BH36" s="1199" t="s">
        <v>416</v>
      </c>
      <c r="BI36" s="1199" t="s">
        <v>414</v>
      </c>
      <c r="BJ36" s="1201">
        <v>41150</v>
      </c>
      <c r="BK36" s="1201">
        <v>39570</v>
      </c>
      <c r="BL36" s="1201">
        <v>37600</v>
      </c>
      <c r="BM36" s="1201">
        <v>37600</v>
      </c>
      <c r="BO36" s="1199" t="s">
        <v>416</v>
      </c>
      <c r="BP36" s="1199" t="s">
        <v>414</v>
      </c>
      <c r="BQ36" s="1201">
        <v>40790</v>
      </c>
      <c r="BR36" s="1201">
        <v>39230</v>
      </c>
      <c r="BS36" s="1201">
        <v>37280</v>
      </c>
      <c r="BT36" s="1201">
        <v>37280</v>
      </c>
      <c r="BU36" s="1213"/>
    </row>
    <row r="37" spans="15:73">
      <c r="O37" s="1212"/>
      <c r="P37" s="1199" t="s">
        <v>415</v>
      </c>
      <c r="Q37" s="1199" t="s">
        <v>1307</v>
      </c>
      <c r="R37" s="1201">
        <v>15560</v>
      </c>
      <c r="S37" s="1201">
        <v>15560</v>
      </c>
      <c r="T37" s="1201">
        <v>15560</v>
      </c>
      <c r="U37" s="1201">
        <v>15560</v>
      </c>
      <c r="W37" s="1199" t="s">
        <v>415</v>
      </c>
      <c r="X37" s="1199" t="s">
        <v>1307</v>
      </c>
      <c r="Y37" s="1201">
        <v>15560</v>
      </c>
      <c r="Z37" s="1201">
        <v>15560</v>
      </c>
      <c r="AA37" s="1201">
        <v>15560</v>
      </c>
      <c r="AB37" s="1201">
        <v>15560</v>
      </c>
      <c r="AD37" s="1199" t="s">
        <v>415</v>
      </c>
      <c r="AE37" s="1199" t="s">
        <v>1307</v>
      </c>
      <c r="AF37" s="1201">
        <v>15560</v>
      </c>
      <c r="AG37" s="1201">
        <v>15560</v>
      </c>
      <c r="AH37" s="1201">
        <v>15560</v>
      </c>
      <c r="AI37" s="1201">
        <v>15560</v>
      </c>
      <c r="AK37" s="1199" t="s">
        <v>415</v>
      </c>
      <c r="AL37" s="1199" t="s">
        <v>1307</v>
      </c>
      <c r="AM37" s="1201">
        <v>15560</v>
      </c>
      <c r="AN37" s="1201">
        <v>15560</v>
      </c>
      <c r="AO37" s="1201">
        <v>15560</v>
      </c>
      <c r="AP37" s="1201">
        <v>15560</v>
      </c>
      <c r="AQ37" s="1213"/>
      <c r="AS37" s="1212"/>
      <c r="AT37" s="1199" t="s">
        <v>415</v>
      </c>
      <c r="AU37" s="1199" t="s">
        <v>1307</v>
      </c>
      <c r="AV37" s="1201">
        <v>15560</v>
      </c>
      <c r="AW37" s="1201">
        <v>15560</v>
      </c>
      <c r="AX37" s="1201">
        <v>15560</v>
      </c>
      <c r="AY37" s="1201">
        <v>15560</v>
      </c>
      <c r="BA37" s="1199" t="s">
        <v>415</v>
      </c>
      <c r="BB37" s="1199" t="s">
        <v>1307</v>
      </c>
      <c r="BC37" s="1201">
        <v>15560</v>
      </c>
      <c r="BD37" s="1201">
        <v>15560</v>
      </c>
      <c r="BE37" s="1201">
        <v>15560</v>
      </c>
      <c r="BF37" s="1201">
        <v>15560</v>
      </c>
      <c r="BH37" s="1199" t="s">
        <v>415</v>
      </c>
      <c r="BI37" s="1199" t="s">
        <v>1307</v>
      </c>
      <c r="BJ37" s="1201">
        <v>15560</v>
      </c>
      <c r="BK37" s="1201">
        <v>15560</v>
      </c>
      <c r="BL37" s="1201">
        <v>15560</v>
      </c>
      <c r="BM37" s="1201">
        <v>15560</v>
      </c>
      <c r="BO37" s="1199" t="s">
        <v>415</v>
      </c>
      <c r="BP37" s="1199" t="s">
        <v>1307</v>
      </c>
      <c r="BQ37" s="1201">
        <v>15560</v>
      </c>
      <c r="BR37" s="1201">
        <v>15560</v>
      </c>
      <c r="BS37" s="1201">
        <v>15560</v>
      </c>
      <c r="BT37" s="1201">
        <v>15560</v>
      </c>
      <c r="BU37" s="1213"/>
    </row>
    <row r="38" spans="15:73">
      <c r="O38" s="1212"/>
      <c r="P38" s="1862" t="s">
        <v>408</v>
      </c>
      <c r="Q38" s="1859" t="s">
        <v>1308</v>
      </c>
      <c r="R38" s="1204">
        <v>368300</v>
      </c>
      <c r="S38" s="1204">
        <v>248420</v>
      </c>
      <c r="T38" s="1204">
        <v>367080</v>
      </c>
      <c r="U38" s="1204">
        <v>367080</v>
      </c>
      <c r="W38" s="1862" t="s">
        <v>408</v>
      </c>
      <c r="X38" s="1859" t="s">
        <v>1308</v>
      </c>
      <c r="Y38" s="1204">
        <v>365470</v>
      </c>
      <c r="Z38" s="1204">
        <v>246510</v>
      </c>
      <c r="AA38" s="1204">
        <v>364260</v>
      </c>
      <c r="AB38" s="1204">
        <v>364260</v>
      </c>
      <c r="AD38" s="1862" t="s">
        <v>408</v>
      </c>
      <c r="AE38" s="1859" t="s">
        <v>1308</v>
      </c>
      <c r="AF38" s="1204">
        <v>281280</v>
      </c>
      <c r="AG38" s="1204">
        <v>192790</v>
      </c>
      <c r="AH38" s="1204">
        <v>300480</v>
      </c>
      <c r="AI38" s="1204">
        <v>300480</v>
      </c>
      <c r="AK38" s="1862" t="s">
        <v>408</v>
      </c>
      <c r="AL38" s="1859" t="s">
        <v>1308</v>
      </c>
      <c r="AM38" s="1204">
        <v>279120</v>
      </c>
      <c r="AN38" s="1204">
        <v>191300</v>
      </c>
      <c r="AO38" s="1204">
        <v>298170</v>
      </c>
      <c r="AP38" s="1204">
        <v>298170</v>
      </c>
      <c r="AQ38" s="1213"/>
      <c r="AS38" s="1212"/>
      <c r="AT38" s="1862" t="s">
        <v>408</v>
      </c>
      <c r="AU38" s="1859" t="s">
        <v>1308</v>
      </c>
      <c r="AV38" s="1204">
        <v>368300</v>
      </c>
      <c r="AW38" s="1204">
        <v>248420</v>
      </c>
      <c r="AX38" s="1204">
        <v>367080</v>
      </c>
      <c r="AY38" s="1204">
        <v>367080</v>
      </c>
      <c r="BA38" s="1862" t="s">
        <v>408</v>
      </c>
      <c r="BB38" s="1859" t="s">
        <v>1308</v>
      </c>
      <c r="BC38" s="1204">
        <v>365470</v>
      </c>
      <c r="BD38" s="1204">
        <v>246510</v>
      </c>
      <c r="BE38" s="1204">
        <v>364260</v>
      </c>
      <c r="BF38" s="1204">
        <v>364260</v>
      </c>
      <c r="BH38" s="1862" t="s">
        <v>408</v>
      </c>
      <c r="BI38" s="1859" t="s">
        <v>1308</v>
      </c>
      <c r="BJ38" s="1204">
        <v>281280</v>
      </c>
      <c r="BK38" s="1204">
        <v>192790</v>
      </c>
      <c r="BL38" s="1204">
        <v>300480</v>
      </c>
      <c r="BM38" s="1204">
        <v>300480</v>
      </c>
      <c r="BO38" s="1862" t="s">
        <v>408</v>
      </c>
      <c r="BP38" s="1859" t="s">
        <v>1308</v>
      </c>
      <c r="BQ38" s="1204">
        <v>279120</v>
      </c>
      <c r="BR38" s="1204">
        <v>191300</v>
      </c>
      <c r="BS38" s="1204">
        <v>298170</v>
      </c>
      <c r="BT38" s="1204">
        <v>298170</v>
      </c>
      <c r="BU38" s="1213"/>
    </row>
    <row r="39" spans="15:73">
      <c r="O39" s="1212"/>
      <c r="P39" s="1863"/>
      <c r="Q39" s="1860"/>
      <c r="R39" s="1205">
        <v>3.6829999999999998</v>
      </c>
      <c r="S39" s="1205">
        <v>2.4842</v>
      </c>
      <c r="T39" s="1205">
        <v>3.6707999999999998</v>
      </c>
      <c r="U39" s="1205">
        <v>3.6707999999999998</v>
      </c>
      <c r="W39" s="1863"/>
      <c r="X39" s="1860"/>
      <c r="Y39" s="1205">
        <v>3.6829999999999998</v>
      </c>
      <c r="Z39" s="1205">
        <v>2.4842</v>
      </c>
      <c r="AA39" s="1205">
        <v>3.6707999999999998</v>
      </c>
      <c r="AB39" s="1205">
        <v>3.6707999999999998</v>
      </c>
      <c r="AD39" s="1863"/>
      <c r="AE39" s="1860"/>
      <c r="AF39" s="1205">
        <v>2.8128000000000002</v>
      </c>
      <c r="AG39" s="1205">
        <v>1.9278999999999999</v>
      </c>
      <c r="AH39" s="1205">
        <v>3.0047999999999999</v>
      </c>
      <c r="AI39" s="1205">
        <v>3.0047999999999999</v>
      </c>
      <c r="AK39" s="1863"/>
      <c r="AL39" s="1860"/>
      <c r="AM39" s="1205">
        <v>2.8128000000000002</v>
      </c>
      <c r="AN39" s="1205">
        <v>1.9278999999999999</v>
      </c>
      <c r="AO39" s="1205">
        <v>3.0047999999999999</v>
      </c>
      <c r="AP39" s="1205">
        <v>3.0047999999999999</v>
      </c>
      <c r="AQ39" s="1213"/>
      <c r="AS39" s="1212"/>
      <c r="AT39" s="1863"/>
      <c r="AU39" s="1860"/>
      <c r="AV39" s="1205">
        <v>3.6829999999999998</v>
      </c>
      <c r="AW39" s="1205">
        <v>2.4842</v>
      </c>
      <c r="AX39" s="1205">
        <v>3.6707999999999998</v>
      </c>
      <c r="AY39" s="1205">
        <v>3.6707999999999998</v>
      </c>
      <c r="BA39" s="1863"/>
      <c r="BB39" s="1860"/>
      <c r="BC39" s="1205">
        <v>3.6829999999999998</v>
      </c>
      <c r="BD39" s="1205">
        <v>2.4842</v>
      </c>
      <c r="BE39" s="1205">
        <v>3.6707999999999998</v>
      </c>
      <c r="BF39" s="1205">
        <v>3.6707999999999998</v>
      </c>
      <c r="BH39" s="1863"/>
      <c r="BI39" s="1860"/>
      <c r="BJ39" s="1205">
        <v>2.8128000000000002</v>
      </c>
      <c r="BK39" s="1205">
        <v>1.9278999999999999</v>
      </c>
      <c r="BL39" s="1205">
        <v>3.0047999999999999</v>
      </c>
      <c r="BM39" s="1205">
        <v>3.0047999999999999</v>
      </c>
      <c r="BO39" s="1863"/>
      <c r="BP39" s="1860"/>
      <c r="BQ39" s="1205">
        <v>2.8128000000000002</v>
      </c>
      <c r="BR39" s="1205">
        <v>1.9278999999999999</v>
      </c>
      <c r="BS39" s="1205">
        <v>3.0047999999999999</v>
      </c>
      <c r="BT39" s="1205">
        <v>3.0047999999999999</v>
      </c>
      <c r="BU39" s="1213"/>
    </row>
    <row r="40" spans="15:73">
      <c r="O40" s="1212"/>
      <c r="P40" s="1216"/>
      <c r="R40" s="1217">
        <f>R28+R29+R30+R35+R36</f>
        <v>1157560</v>
      </c>
      <c r="S40" s="1217">
        <f t="shared" ref="S40:U40" si="11">S28+S29+S30+S35+S36</f>
        <v>1126830</v>
      </c>
      <c r="T40" s="1217">
        <f t="shared" si="11"/>
        <v>1017640</v>
      </c>
      <c r="U40" s="1217">
        <f t="shared" si="11"/>
        <v>1017640</v>
      </c>
      <c r="Y40" s="1217">
        <f>Y28+Y29+Y30+Y35+Y36</f>
        <v>1147430</v>
      </c>
      <c r="Z40" s="1217">
        <f t="shared" ref="Z40:AB40" si="12">Z28+Z29+Z30+Z35+Z36</f>
        <v>1117030</v>
      </c>
      <c r="AA40" s="1217">
        <f t="shared" si="12"/>
        <v>1008760</v>
      </c>
      <c r="AB40" s="1217">
        <f t="shared" si="12"/>
        <v>1008760</v>
      </c>
      <c r="AF40" s="1217">
        <f>AF28+AF29+AF30+AF35+AF36</f>
        <v>884270</v>
      </c>
      <c r="AG40" s="1217">
        <f t="shared" ref="AG40:AI40" si="13">AG28+AG29+AG30+AG35+AG36</f>
        <v>874420</v>
      </c>
      <c r="AH40" s="1217">
        <f t="shared" si="13"/>
        <v>832320</v>
      </c>
      <c r="AI40" s="1217">
        <f t="shared" si="13"/>
        <v>832320</v>
      </c>
      <c r="AM40" s="1217">
        <f>AM28+AM29+AM30+AM35+AM36</f>
        <v>876520</v>
      </c>
      <c r="AN40" s="1217">
        <f t="shared" ref="AN40:AP40" si="14">AN28+AN29+AN30+AN35+AN36</f>
        <v>866810</v>
      </c>
      <c r="AO40" s="1217">
        <f t="shared" si="14"/>
        <v>825060</v>
      </c>
      <c r="AP40" s="1217">
        <f t="shared" si="14"/>
        <v>825060</v>
      </c>
      <c r="AQ40" s="1213"/>
      <c r="AS40" s="1212"/>
      <c r="AT40" s="1216"/>
      <c r="AV40" s="1217">
        <f>AV28+AV29+AV30+AV35+AV36</f>
        <v>1157560</v>
      </c>
      <c r="AW40" s="1217">
        <f t="shared" ref="AW40:AY40" si="15">AW28+AW29+AW30+AW35+AW36</f>
        <v>1126830</v>
      </c>
      <c r="AX40" s="1217">
        <f t="shared" si="15"/>
        <v>1017640</v>
      </c>
      <c r="AY40" s="1217">
        <f t="shared" si="15"/>
        <v>1017640</v>
      </c>
      <c r="BC40" s="1217">
        <f>BC28+BC29+BC30+BC35+BC36</f>
        <v>1147430</v>
      </c>
      <c r="BD40" s="1217">
        <f t="shared" ref="BD40:BF40" si="16">BD28+BD29+BD30+BD35+BD36</f>
        <v>1117030</v>
      </c>
      <c r="BE40" s="1217">
        <f t="shared" si="16"/>
        <v>1008760</v>
      </c>
      <c r="BF40" s="1217">
        <f t="shared" si="16"/>
        <v>1008760</v>
      </c>
      <c r="BJ40" s="1217">
        <f>BJ28+BJ29+BJ30+BJ35+BJ36</f>
        <v>884270</v>
      </c>
      <c r="BK40" s="1217">
        <f t="shared" ref="BK40:BM40" si="17">BK28+BK29+BK30+BK35+BK36</f>
        <v>874420</v>
      </c>
      <c r="BL40" s="1217">
        <f t="shared" si="17"/>
        <v>832320</v>
      </c>
      <c r="BM40" s="1217">
        <f t="shared" si="17"/>
        <v>832320</v>
      </c>
      <c r="BQ40" s="1217">
        <f>BQ28+BQ29+BQ30+BQ35+BQ36</f>
        <v>876520</v>
      </c>
      <c r="BR40" s="1217">
        <f t="shared" ref="BR40:BT40" si="18">BR28+BR29+BR30+BR35+BR36</f>
        <v>866810</v>
      </c>
      <c r="BS40" s="1217">
        <f t="shared" si="18"/>
        <v>825060</v>
      </c>
      <c r="BT40" s="1217">
        <f t="shared" si="18"/>
        <v>825060</v>
      </c>
      <c r="BU40" s="1213"/>
    </row>
    <row r="41" spans="15:73" ht="12" thickBot="1">
      <c r="O41" s="1218"/>
      <c r="P41" s="1219"/>
      <c r="Q41" s="1219"/>
      <c r="R41" s="1219"/>
      <c r="S41" s="1219"/>
      <c r="T41" s="1219"/>
      <c r="U41" s="1219"/>
      <c r="V41" s="1219"/>
      <c r="W41" s="1219"/>
      <c r="X41" s="1219"/>
      <c r="Y41" s="1219"/>
      <c r="Z41" s="1219"/>
      <c r="AA41" s="1219"/>
      <c r="AB41" s="1219"/>
      <c r="AC41" s="1219"/>
      <c r="AD41" s="1219"/>
      <c r="AE41" s="1219"/>
      <c r="AF41" s="1219"/>
      <c r="AG41" s="1219"/>
      <c r="AH41" s="1219"/>
      <c r="AI41" s="1219"/>
      <c r="AJ41" s="1219"/>
      <c r="AK41" s="1219"/>
      <c r="AL41" s="1219"/>
      <c r="AM41" s="1219"/>
      <c r="AN41" s="1219"/>
      <c r="AO41" s="1219"/>
      <c r="AP41" s="1219"/>
      <c r="AQ41" s="1220"/>
      <c r="AS41" s="1218"/>
      <c r="AT41" s="1219"/>
      <c r="AU41" s="1219"/>
      <c r="AV41" s="1219"/>
      <c r="AW41" s="1219"/>
      <c r="AX41" s="1219"/>
      <c r="AY41" s="1219"/>
      <c r="AZ41" s="1219"/>
      <c r="BA41" s="1219"/>
      <c r="BB41" s="1219"/>
      <c r="BC41" s="1219"/>
      <c r="BD41" s="1219"/>
      <c r="BE41" s="1219"/>
      <c r="BF41" s="1219"/>
      <c r="BG41" s="1219"/>
      <c r="BH41" s="1219"/>
      <c r="BI41" s="1219"/>
      <c r="BJ41" s="1219"/>
      <c r="BK41" s="1219"/>
      <c r="BL41" s="1219"/>
      <c r="BM41" s="1219"/>
      <c r="BN41" s="1219"/>
      <c r="BO41" s="1219"/>
      <c r="BP41" s="1219"/>
      <c r="BQ41" s="1219"/>
      <c r="BR41" s="1219"/>
      <c r="BS41" s="1219"/>
      <c r="BT41" s="1219"/>
      <c r="BU41" s="1220"/>
    </row>
    <row r="42" spans="15:73" ht="12" thickBot="1"/>
    <row r="43" spans="15:73" ht="12" thickBot="1">
      <c r="O43" s="1209"/>
      <c r="P43" s="1210"/>
      <c r="Q43" s="1210"/>
      <c r="R43" s="1210"/>
      <c r="S43" s="1210"/>
      <c r="T43" s="1210"/>
      <c r="U43" s="1210"/>
      <c r="V43" s="1210"/>
      <c r="W43" s="1210"/>
      <c r="X43" s="1210"/>
      <c r="Y43" s="1210"/>
      <c r="Z43" s="1210"/>
      <c r="AA43" s="1210"/>
      <c r="AB43" s="1210"/>
      <c r="AC43" s="1210"/>
      <c r="AD43" s="1210"/>
      <c r="AE43" s="1210"/>
      <c r="AF43" s="1210"/>
      <c r="AG43" s="1210"/>
      <c r="AH43" s="1210"/>
      <c r="AI43" s="1210"/>
      <c r="AJ43" s="1210"/>
      <c r="AK43" s="1210"/>
      <c r="AL43" s="1210"/>
      <c r="AM43" s="1210"/>
      <c r="AN43" s="1210"/>
      <c r="AO43" s="1210"/>
      <c r="AP43" s="1210"/>
      <c r="AQ43" s="1211"/>
      <c r="AS43" s="1209"/>
      <c r="AT43" s="1210"/>
      <c r="AU43" s="1210"/>
      <c r="AV43" s="1210"/>
      <c r="AW43" s="1210"/>
      <c r="AX43" s="1210"/>
      <c r="AY43" s="1210"/>
      <c r="AZ43" s="1210"/>
      <c r="BA43" s="1210"/>
      <c r="BB43" s="1210"/>
      <c r="BC43" s="1210"/>
      <c r="BD43" s="1210"/>
      <c r="BE43" s="1210"/>
      <c r="BF43" s="1210"/>
      <c r="BG43" s="1210"/>
      <c r="BH43" s="1210"/>
      <c r="BI43" s="1210"/>
      <c r="BJ43" s="1210"/>
      <c r="BK43" s="1210"/>
      <c r="BL43" s="1210"/>
      <c r="BM43" s="1210"/>
      <c r="BN43" s="1210"/>
      <c r="BO43" s="1210"/>
      <c r="BP43" s="1210"/>
      <c r="BQ43" s="1210"/>
      <c r="BR43" s="1210"/>
      <c r="BS43" s="1210"/>
      <c r="BT43" s="1210"/>
      <c r="BU43" s="1211"/>
    </row>
    <row r="44" spans="15:73" ht="12" thickBot="1">
      <c r="O44" s="1212"/>
      <c r="P44" s="1847" t="s">
        <v>383</v>
      </c>
      <c r="Q44" s="1848"/>
      <c r="AQ44" s="1213"/>
      <c r="AS44" s="1212"/>
      <c r="AT44" s="1847" t="s">
        <v>383</v>
      </c>
      <c r="AU44" s="1848"/>
      <c r="BU44" s="1213"/>
    </row>
    <row r="45" spans="15:73">
      <c r="O45" s="1212"/>
      <c r="P45" s="1842" t="s">
        <v>1295</v>
      </c>
      <c r="Q45" s="1842"/>
      <c r="R45" s="1214"/>
      <c r="S45" s="1214"/>
      <c r="T45" s="1214"/>
      <c r="U45" s="1214"/>
      <c r="W45" s="1842" t="s">
        <v>1468</v>
      </c>
      <c r="X45" s="1842"/>
      <c r="Y45" s="1214"/>
      <c r="Z45" s="1214"/>
      <c r="AA45" s="1214"/>
      <c r="AB45" s="1214"/>
      <c r="AD45" s="1842" t="s">
        <v>1310</v>
      </c>
      <c r="AE45" s="1842"/>
      <c r="AF45" s="1214"/>
      <c r="AG45" s="1214"/>
      <c r="AH45" s="1214"/>
      <c r="AI45" s="1214"/>
      <c r="AK45" s="1842" t="s">
        <v>1309</v>
      </c>
      <c r="AL45" s="1842"/>
      <c r="AM45" s="1214"/>
      <c r="AN45" s="1214"/>
      <c r="AO45" s="1214"/>
      <c r="AP45" s="1214"/>
      <c r="AQ45" s="1213"/>
      <c r="AS45" s="1212"/>
      <c r="AT45" s="1842" t="s">
        <v>1295</v>
      </c>
      <c r="AU45" s="1842"/>
      <c r="AV45" s="1214"/>
      <c r="AW45" s="1214"/>
      <c r="AX45" s="1214"/>
      <c r="AY45" s="1214"/>
      <c r="BA45" s="1842" t="s">
        <v>1468</v>
      </c>
      <c r="BB45" s="1842"/>
      <c r="BC45" s="1214"/>
      <c r="BD45" s="1214"/>
      <c r="BE45" s="1214"/>
      <c r="BF45" s="1214"/>
      <c r="BH45" s="1842" t="s">
        <v>1310</v>
      </c>
      <c r="BI45" s="1842"/>
      <c r="BJ45" s="1214"/>
      <c r="BK45" s="1214"/>
      <c r="BL45" s="1214"/>
      <c r="BM45" s="1214"/>
      <c r="BO45" s="1842" t="s">
        <v>1309</v>
      </c>
      <c r="BP45" s="1842"/>
      <c r="BQ45" s="1214"/>
      <c r="BR45" s="1214"/>
      <c r="BS45" s="1214"/>
      <c r="BT45" s="1214"/>
      <c r="BU45" s="1213"/>
    </row>
    <row r="46" spans="15:73">
      <c r="O46" s="1212"/>
      <c r="P46" s="1843" t="s">
        <v>1297</v>
      </c>
      <c r="Q46" s="1844"/>
      <c r="R46" s="1214"/>
      <c r="S46" s="1214"/>
      <c r="T46" s="1214"/>
      <c r="U46" s="1215" t="s">
        <v>1298</v>
      </c>
      <c r="W46" s="1843" t="s">
        <v>1297</v>
      </c>
      <c r="X46" s="1844"/>
      <c r="Y46" s="1214"/>
      <c r="Z46" s="1214"/>
      <c r="AA46" s="1214"/>
      <c r="AB46" s="1215" t="s">
        <v>1298</v>
      </c>
      <c r="AD46" s="1843" t="s">
        <v>1297</v>
      </c>
      <c r="AE46" s="1844"/>
      <c r="AF46" s="1214"/>
      <c r="AG46" s="1214"/>
      <c r="AH46" s="1214"/>
      <c r="AI46" s="1215" t="s">
        <v>1298</v>
      </c>
      <c r="AK46" s="1843" t="s">
        <v>1297</v>
      </c>
      <c r="AL46" s="1844"/>
      <c r="AM46" s="1214"/>
      <c r="AN46" s="1214"/>
      <c r="AO46" s="1214"/>
      <c r="AP46" s="1215" t="s">
        <v>1298</v>
      </c>
      <c r="AQ46" s="1213"/>
      <c r="AS46" s="1212"/>
      <c r="AT46" s="1843" t="s">
        <v>1297</v>
      </c>
      <c r="AU46" s="1844"/>
      <c r="AV46" s="1214"/>
      <c r="AW46" s="1214"/>
      <c r="AX46" s="1214"/>
      <c r="AY46" s="1215" t="s">
        <v>1298</v>
      </c>
      <c r="BA46" s="1843" t="s">
        <v>1297</v>
      </c>
      <c r="BB46" s="1844"/>
      <c r="BC46" s="1214"/>
      <c r="BD46" s="1214"/>
      <c r="BE46" s="1214"/>
      <c r="BF46" s="1215" t="s">
        <v>1298</v>
      </c>
      <c r="BH46" s="1843" t="s">
        <v>1297</v>
      </c>
      <c r="BI46" s="1844"/>
      <c r="BJ46" s="1214"/>
      <c r="BK46" s="1214"/>
      <c r="BL46" s="1214"/>
      <c r="BM46" s="1215" t="s">
        <v>1298</v>
      </c>
      <c r="BO46" s="1843" t="s">
        <v>1297</v>
      </c>
      <c r="BP46" s="1844"/>
      <c r="BQ46" s="1214"/>
      <c r="BR46" s="1214"/>
      <c r="BS46" s="1214"/>
      <c r="BT46" s="1215" t="s">
        <v>1298</v>
      </c>
      <c r="BU46" s="1213"/>
    </row>
    <row r="47" spans="15:73">
      <c r="O47" s="1212"/>
      <c r="P47" s="1198" t="s">
        <v>409</v>
      </c>
      <c r="Q47" s="1198" t="s">
        <v>410</v>
      </c>
      <c r="R47" s="1198" t="s">
        <v>375</v>
      </c>
      <c r="S47" s="1198" t="s">
        <v>411</v>
      </c>
      <c r="T47" s="1198" t="s">
        <v>1299</v>
      </c>
      <c r="U47" s="1198" t="s">
        <v>1300</v>
      </c>
      <c r="W47" s="1198" t="s">
        <v>409</v>
      </c>
      <c r="X47" s="1198" t="s">
        <v>410</v>
      </c>
      <c r="Y47" s="1198" t="s">
        <v>375</v>
      </c>
      <c r="Z47" s="1198" t="s">
        <v>411</v>
      </c>
      <c r="AA47" s="1198" t="s">
        <v>1299</v>
      </c>
      <c r="AB47" s="1198" t="s">
        <v>1300</v>
      </c>
      <c r="AD47" s="1198" t="s">
        <v>409</v>
      </c>
      <c r="AE47" s="1198" t="s">
        <v>410</v>
      </c>
      <c r="AF47" s="1198" t="s">
        <v>375</v>
      </c>
      <c r="AG47" s="1198" t="s">
        <v>411</v>
      </c>
      <c r="AH47" s="1198" t="s">
        <v>1299</v>
      </c>
      <c r="AI47" s="1198" t="s">
        <v>1300</v>
      </c>
      <c r="AK47" s="1198" t="s">
        <v>409</v>
      </c>
      <c r="AL47" s="1198" t="s">
        <v>410</v>
      </c>
      <c r="AM47" s="1198" t="s">
        <v>375</v>
      </c>
      <c r="AN47" s="1198" t="s">
        <v>411</v>
      </c>
      <c r="AO47" s="1198" t="s">
        <v>1299</v>
      </c>
      <c r="AP47" s="1198" t="s">
        <v>1300</v>
      </c>
      <c r="AQ47" s="1213"/>
      <c r="AS47" s="1212"/>
      <c r="AT47" s="1198" t="s">
        <v>409</v>
      </c>
      <c r="AU47" s="1198" t="s">
        <v>410</v>
      </c>
      <c r="AV47" s="1198" t="s">
        <v>375</v>
      </c>
      <c r="AW47" s="1198" t="s">
        <v>411</v>
      </c>
      <c r="AX47" s="1198" t="s">
        <v>1299</v>
      </c>
      <c r="AY47" s="1198" t="s">
        <v>1300</v>
      </c>
      <c r="BA47" s="1198" t="s">
        <v>409</v>
      </c>
      <c r="BB47" s="1198" t="s">
        <v>410</v>
      </c>
      <c r="BC47" s="1198" t="s">
        <v>375</v>
      </c>
      <c r="BD47" s="1198" t="s">
        <v>411</v>
      </c>
      <c r="BE47" s="1198" t="s">
        <v>1299</v>
      </c>
      <c r="BF47" s="1198" t="s">
        <v>1300</v>
      </c>
      <c r="BH47" s="1198" t="s">
        <v>409</v>
      </c>
      <c r="BI47" s="1198" t="s">
        <v>410</v>
      </c>
      <c r="BJ47" s="1198" t="s">
        <v>375</v>
      </c>
      <c r="BK47" s="1198" t="s">
        <v>411</v>
      </c>
      <c r="BL47" s="1198" t="s">
        <v>1299</v>
      </c>
      <c r="BM47" s="1198" t="s">
        <v>1300</v>
      </c>
      <c r="BO47" s="1198" t="s">
        <v>409</v>
      </c>
      <c r="BP47" s="1198" t="s">
        <v>410</v>
      </c>
      <c r="BQ47" s="1198" t="s">
        <v>375</v>
      </c>
      <c r="BR47" s="1198" t="s">
        <v>411</v>
      </c>
      <c r="BS47" s="1198" t="s">
        <v>1299</v>
      </c>
      <c r="BT47" s="1198" t="s">
        <v>1300</v>
      </c>
      <c r="BU47" s="1213"/>
    </row>
    <row r="48" spans="15:73">
      <c r="O48" s="1212"/>
      <c r="P48" s="1208" t="s">
        <v>1301</v>
      </c>
      <c r="Q48" s="1208" t="s">
        <v>1302</v>
      </c>
      <c r="R48" s="1200">
        <f>AV48*1.03</f>
        <v>133869.1</v>
      </c>
      <c r="S48" s="1200">
        <f t="shared" ref="S48:U56" si="19">AW48*1.03</f>
        <v>194000.5</v>
      </c>
      <c r="T48" s="1200">
        <f t="shared" si="19"/>
        <v>110889.8</v>
      </c>
      <c r="U48" s="1200">
        <f t="shared" si="19"/>
        <v>119840.5</v>
      </c>
      <c r="W48" s="1208" t="s">
        <v>1301</v>
      </c>
      <c r="X48" s="1208" t="s">
        <v>1302</v>
      </c>
      <c r="Y48" s="1200">
        <f>BC48*1.03</f>
        <v>133869.1</v>
      </c>
      <c r="Z48" s="1200">
        <f t="shared" ref="Z48:AB56" si="20">BD48*1.03</f>
        <v>194000.5</v>
      </c>
      <c r="AA48" s="1200">
        <f t="shared" si="20"/>
        <v>110889.8</v>
      </c>
      <c r="AB48" s="1200">
        <f t="shared" si="20"/>
        <v>119840.5</v>
      </c>
      <c r="AD48" s="1208" t="s">
        <v>1301</v>
      </c>
      <c r="AE48" s="1208" t="s">
        <v>1302</v>
      </c>
      <c r="AF48" s="1200">
        <f>BJ48*1.03</f>
        <v>111023.7</v>
      </c>
      <c r="AG48" s="1200">
        <f t="shared" ref="AG48:AI56" si="21">BK48*1.03</f>
        <v>158238.9</v>
      </c>
      <c r="AH48" s="1200">
        <f t="shared" si="21"/>
        <v>90434</v>
      </c>
      <c r="AI48" s="1200">
        <f t="shared" si="21"/>
        <v>97747</v>
      </c>
      <c r="AK48" s="1208" t="s">
        <v>1301</v>
      </c>
      <c r="AL48" s="1208" t="s">
        <v>1302</v>
      </c>
      <c r="AM48" s="1200">
        <f>BQ48*1.03</f>
        <v>111013.40000000001</v>
      </c>
      <c r="AN48" s="1200">
        <f t="shared" ref="AN48:AP56" si="22">BR48*1.03</f>
        <v>158238.9</v>
      </c>
      <c r="AO48" s="1200">
        <f t="shared" si="22"/>
        <v>90423.7</v>
      </c>
      <c r="AP48" s="1200">
        <f t="shared" si="22"/>
        <v>97736.7</v>
      </c>
      <c r="AQ48" s="1213"/>
      <c r="AS48" s="1212"/>
      <c r="AT48" s="1208" t="s">
        <v>1301</v>
      </c>
      <c r="AU48" s="1208" t="s">
        <v>1302</v>
      </c>
      <c r="AV48" s="1200">
        <v>129970</v>
      </c>
      <c r="AW48" s="1200">
        <v>188350</v>
      </c>
      <c r="AX48" s="1200">
        <v>107660</v>
      </c>
      <c r="AY48" s="1200">
        <v>116350</v>
      </c>
      <c r="BA48" s="1208" t="s">
        <v>1301</v>
      </c>
      <c r="BB48" s="1208" t="s">
        <v>1302</v>
      </c>
      <c r="BC48" s="1200">
        <v>129970</v>
      </c>
      <c r="BD48" s="1200">
        <v>188350</v>
      </c>
      <c r="BE48" s="1200">
        <v>107660</v>
      </c>
      <c r="BF48" s="1200">
        <v>116350</v>
      </c>
      <c r="BH48" s="1208" t="s">
        <v>1301</v>
      </c>
      <c r="BI48" s="1208" t="s">
        <v>1302</v>
      </c>
      <c r="BJ48" s="1200">
        <v>107790</v>
      </c>
      <c r="BK48" s="1200">
        <v>153630</v>
      </c>
      <c r="BL48" s="1200">
        <v>87800</v>
      </c>
      <c r="BM48" s="1200">
        <v>94900</v>
      </c>
      <c r="BO48" s="1208" t="s">
        <v>1301</v>
      </c>
      <c r="BP48" s="1208" t="s">
        <v>1302</v>
      </c>
      <c r="BQ48" s="1200">
        <v>107780</v>
      </c>
      <c r="BR48" s="1200">
        <v>153630</v>
      </c>
      <c r="BS48" s="1200">
        <v>87790</v>
      </c>
      <c r="BT48" s="1200">
        <v>94890</v>
      </c>
      <c r="BU48" s="1213"/>
    </row>
    <row r="49" spans="15:73">
      <c r="O49" s="1212"/>
      <c r="P49" s="1208" t="s">
        <v>1303</v>
      </c>
      <c r="Q49" s="1208" t="s">
        <v>412</v>
      </c>
      <c r="R49" s="1200">
        <f>AV49*1.03</f>
        <v>228351</v>
      </c>
      <c r="S49" s="1200">
        <f t="shared" si="19"/>
        <v>255100.1</v>
      </c>
      <c r="T49" s="1200">
        <f t="shared" si="19"/>
        <v>184483.30000000002</v>
      </c>
      <c r="U49" s="1200">
        <f t="shared" si="19"/>
        <v>199315.30000000002</v>
      </c>
      <c r="W49" s="1208" t="s">
        <v>1303</v>
      </c>
      <c r="X49" s="1208" t="s">
        <v>412</v>
      </c>
      <c r="Y49" s="1200">
        <f t="shared" ref="Y49:Y56" si="23">BC49*1.03</f>
        <v>226291</v>
      </c>
      <c r="Z49" s="1200">
        <f t="shared" si="20"/>
        <v>255100.1</v>
      </c>
      <c r="AA49" s="1200">
        <f t="shared" si="20"/>
        <v>182825</v>
      </c>
      <c r="AB49" s="1200">
        <f t="shared" si="20"/>
        <v>197523.1</v>
      </c>
      <c r="AD49" s="1208" t="s">
        <v>1303</v>
      </c>
      <c r="AE49" s="1208" t="s">
        <v>412</v>
      </c>
      <c r="AF49" s="1200">
        <f t="shared" ref="AF49:AF56" si="24">BJ49*1.03</f>
        <v>191188.6</v>
      </c>
      <c r="AG49" s="1200">
        <f t="shared" si="21"/>
        <v>208193.9</v>
      </c>
      <c r="AH49" s="1200">
        <f t="shared" si="21"/>
        <v>151883.80000000002</v>
      </c>
      <c r="AI49" s="1200">
        <f t="shared" si="21"/>
        <v>164079</v>
      </c>
      <c r="AK49" s="1208" t="s">
        <v>1303</v>
      </c>
      <c r="AL49" s="1208" t="s">
        <v>412</v>
      </c>
      <c r="AM49" s="1200">
        <f t="shared" ref="AM49:AM55" si="25">BQ49*1.03</f>
        <v>189499.4</v>
      </c>
      <c r="AN49" s="1200">
        <f t="shared" si="22"/>
        <v>208193.9</v>
      </c>
      <c r="AO49" s="1200">
        <f t="shared" si="22"/>
        <v>150534.5</v>
      </c>
      <c r="AP49" s="1200">
        <f t="shared" si="22"/>
        <v>162637</v>
      </c>
      <c r="AQ49" s="1213"/>
      <c r="AS49" s="1212"/>
      <c r="AT49" s="1208" t="s">
        <v>1303</v>
      </c>
      <c r="AU49" s="1208" t="s">
        <v>412</v>
      </c>
      <c r="AV49" s="1200">
        <v>221700</v>
      </c>
      <c r="AW49" s="1200">
        <v>247670</v>
      </c>
      <c r="AX49" s="1200">
        <v>179110</v>
      </c>
      <c r="AY49" s="1200">
        <v>193510</v>
      </c>
      <c r="BA49" s="1208" t="s">
        <v>1303</v>
      </c>
      <c r="BB49" s="1208" t="s">
        <v>412</v>
      </c>
      <c r="BC49" s="1200">
        <v>219700</v>
      </c>
      <c r="BD49" s="1200">
        <v>247670</v>
      </c>
      <c r="BE49" s="1200">
        <v>177500</v>
      </c>
      <c r="BF49" s="1200">
        <v>191770</v>
      </c>
      <c r="BH49" s="1208" t="s">
        <v>1303</v>
      </c>
      <c r="BI49" s="1208" t="s">
        <v>412</v>
      </c>
      <c r="BJ49" s="1200">
        <v>185620</v>
      </c>
      <c r="BK49" s="1200">
        <v>202130</v>
      </c>
      <c r="BL49" s="1200">
        <v>147460</v>
      </c>
      <c r="BM49" s="1200">
        <v>159300</v>
      </c>
      <c r="BO49" s="1208" t="s">
        <v>1303</v>
      </c>
      <c r="BP49" s="1208" t="s">
        <v>412</v>
      </c>
      <c r="BQ49" s="1200">
        <v>183980</v>
      </c>
      <c r="BR49" s="1200">
        <v>202130</v>
      </c>
      <c r="BS49" s="1200">
        <v>146150</v>
      </c>
      <c r="BT49" s="1200">
        <v>157900</v>
      </c>
      <c r="BU49" s="1213"/>
    </row>
    <row r="50" spans="15:73">
      <c r="O50" s="1212"/>
      <c r="P50" s="1854" t="s">
        <v>255</v>
      </c>
      <c r="Q50" s="1208" t="s">
        <v>413</v>
      </c>
      <c r="R50" s="1200">
        <f t="shared" ref="R50:R56" si="26">AV50*1.03</f>
        <v>288812</v>
      </c>
      <c r="S50" s="1200">
        <f t="shared" si="19"/>
        <v>406015.7</v>
      </c>
      <c r="T50" s="1200">
        <f t="shared" si="19"/>
        <v>330547.60000000003</v>
      </c>
      <c r="U50" s="1200">
        <f t="shared" si="19"/>
        <v>357214.3</v>
      </c>
      <c r="W50" s="1854" t="s">
        <v>255</v>
      </c>
      <c r="X50" s="1208" t="s">
        <v>413</v>
      </c>
      <c r="Y50" s="1200">
        <f t="shared" si="23"/>
        <v>286195.8</v>
      </c>
      <c r="Z50" s="1200">
        <f t="shared" si="20"/>
        <v>406015.7</v>
      </c>
      <c r="AA50" s="1200">
        <f t="shared" si="20"/>
        <v>327550.3</v>
      </c>
      <c r="AB50" s="1200">
        <f t="shared" si="20"/>
        <v>353980.10000000003</v>
      </c>
      <c r="AD50" s="1854" t="s">
        <v>255</v>
      </c>
      <c r="AE50" s="1208" t="s">
        <v>413</v>
      </c>
      <c r="AF50" s="1200">
        <f t="shared" si="24"/>
        <v>241627.7</v>
      </c>
      <c r="AG50" s="1200">
        <f t="shared" si="21"/>
        <v>331155.3</v>
      </c>
      <c r="AH50" s="1200">
        <f t="shared" si="21"/>
        <v>271920</v>
      </c>
      <c r="AI50" s="1200">
        <f t="shared" si="21"/>
        <v>293869.3</v>
      </c>
      <c r="AK50" s="1854" t="s">
        <v>255</v>
      </c>
      <c r="AL50" s="1208" t="s">
        <v>413</v>
      </c>
      <c r="AM50" s="1200">
        <f t="shared" si="25"/>
        <v>239495.6</v>
      </c>
      <c r="AN50" s="1200">
        <f t="shared" si="22"/>
        <v>331155.3</v>
      </c>
      <c r="AO50" s="1200">
        <f t="shared" si="22"/>
        <v>269520.10000000003</v>
      </c>
      <c r="AP50" s="1200">
        <f t="shared" si="22"/>
        <v>291273.7</v>
      </c>
      <c r="AQ50" s="1213"/>
      <c r="AS50" s="1212"/>
      <c r="AT50" s="1854" t="s">
        <v>255</v>
      </c>
      <c r="AU50" s="1208" t="s">
        <v>413</v>
      </c>
      <c r="AV50" s="1200">
        <v>280400</v>
      </c>
      <c r="AW50" s="1200">
        <v>394190</v>
      </c>
      <c r="AX50" s="1200">
        <v>320920</v>
      </c>
      <c r="AY50" s="1200">
        <v>346810</v>
      </c>
      <c r="BA50" s="1854" t="s">
        <v>255</v>
      </c>
      <c r="BB50" s="1208" t="s">
        <v>413</v>
      </c>
      <c r="BC50" s="1200">
        <v>277860</v>
      </c>
      <c r="BD50" s="1200">
        <v>394190</v>
      </c>
      <c r="BE50" s="1200">
        <v>318010</v>
      </c>
      <c r="BF50" s="1200">
        <v>343670</v>
      </c>
      <c r="BH50" s="1854" t="s">
        <v>255</v>
      </c>
      <c r="BI50" s="1208" t="s">
        <v>413</v>
      </c>
      <c r="BJ50" s="1200">
        <v>234590</v>
      </c>
      <c r="BK50" s="1200">
        <v>321510</v>
      </c>
      <c r="BL50" s="1200">
        <v>264000</v>
      </c>
      <c r="BM50" s="1200">
        <v>285310</v>
      </c>
      <c r="BO50" s="1854" t="s">
        <v>255</v>
      </c>
      <c r="BP50" s="1208" t="s">
        <v>413</v>
      </c>
      <c r="BQ50" s="1200">
        <v>232520</v>
      </c>
      <c r="BR50" s="1200">
        <v>321510</v>
      </c>
      <c r="BS50" s="1200">
        <v>261670</v>
      </c>
      <c r="BT50" s="1200">
        <v>282790</v>
      </c>
      <c r="BU50" s="1213"/>
    </row>
    <row r="51" spans="15:73">
      <c r="O51" s="1212"/>
      <c r="P51" s="1856"/>
      <c r="Q51" s="1208" t="s">
        <v>414</v>
      </c>
      <c r="R51" s="1200">
        <f t="shared" si="26"/>
        <v>306033.60000000003</v>
      </c>
      <c r="S51" s="1200">
        <f t="shared" si="19"/>
        <v>430158.9</v>
      </c>
      <c r="T51" s="1200">
        <f t="shared" si="19"/>
        <v>350220.60000000003</v>
      </c>
      <c r="U51" s="1200">
        <f t="shared" si="19"/>
        <v>378463.2</v>
      </c>
      <c r="W51" s="1856"/>
      <c r="X51" s="1208" t="s">
        <v>414</v>
      </c>
      <c r="Y51" s="1200">
        <f t="shared" si="23"/>
        <v>303262.90000000002</v>
      </c>
      <c r="Z51" s="1200">
        <f t="shared" si="20"/>
        <v>430158.9</v>
      </c>
      <c r="AA51" s="1200">
        <f t="shared" si="20"/>
        <v>347058.5</v>
      </c>
      <c r="AB51" s="1200">
        <f t="shared" si="20"/>
        <v>375043.60000000003</v>
      </c>
      <c r="AD51" s="1856"/>
      <c r="AE51" s="1208" t="s">
        <v>414</v>
      </c>
      <c r="AF51" s="1200">
        <f t="shared" si="24"/>
        <v>256037.4</v>
      </c>
      <c r="AG51" s="1200">
        <f t="shared" si="21"/>
        <v>350869.5</v>
      </c>
      <c r="AH51" s="1200">
        <f t="shared" si="21"/>
        <v>288111.60000000003</v>
      </c>
      <c r="AI51" s="1200">
        <f t="shared" si="21"/>
        <v>311379.3</v>
      </c>
      <c r="AK51" s="1856"/>
      <c r="AL51" s="1208" t="s">
        <v>414</v>
      </c>
      <c r="AM51" s="1200">
        <f t="shared" si="25"/>
        <v>253781.7</v>
      </c>
      <c r="AN51" s="1200">
        <f t="shared" si="22"/>
        <v>350869.5</v>
      </c>
      <c r="AO51" s="1200">
        <f t="shared" si="22"/>
        <v>285557.2</v>
      </c>
      <c r="AP51" s="1200">
        <f t="shared" si="22"/>
        <v>308618.90000000002</v>
      </c>
      <c r="AQ51" s="1213"/>
      <c r="AS51" s="1212"/>
      <c r="AT51" s="1856"/>
      <c r="AU51" s="1208" t="s">
        <v>414</v>
      </c>
      <c r="AV51" s="1200">
        <v>297120</v>
      </c>
      <c r="AW51" s="1200">
        <v>417630</v>
      </c>
      <c r="AX51" s="1200">
        <v>340020</v>
      </c>
      <c r="AY51" s="1200">
        <v>367440</v>
      </c>
      <c r="BA51" s="1856"/>
      <c r="BB51" s="1208" t="s">
        <v>414</v>
      </c>
      <c r="BC51" s="1200">
        <v>294430</v>
      </c>
      <c r="BD51" s="1200">
        <v>417630</v>
      </c>
      <c r="BE51" s="1200">
        <v>336950</v>
      </c>
      <c r="BF51" s="1200">
        <v>364120</v>
      </c>
      <c r="BH51" s="1856"/>
      <c r="BI51" s="1208" t="s">
        <v>414</v>
      </c>
      <c r="BJ51" s="1200">
        <v>248580</v>
      </c>
      <c r="BK51" s="1200">
        <v>340650</v>
      </c>
      <c r="BL51" s="1200">
        <v>279720</v>
      </c>
      <c r="BM51" s="1200">
        <v>302310</v>
      </c>
      <c r="BO51" s="1856"/>
      <c r="BP51" s="1208" t="s">
        <v>414</v>
      </c>
      <c r="BQ51" s="1200">
        <v>246390</v>
      </c>
      <c r="BR51" s="1200">
        <v>340650</v>
      </c>
      <c r="BS51" s="1200">
        <v>277240</v>
      </c>
      <c r="BT51" s="1200">
        <v>299630</v>
      </c>
      <c r="BU51" s="1213"/>
    </row>
    <row r="52" spans="15:73">
      <c r="O52" s="1212"/>
      <c r="P52" s="1855"/>
      <c r="Q52" s="1208" t="s">
        <v>1304</v>
      </c>
      <c r="R52" s="1200">
        <f t="shared" si="26"/>
        <v>314634.10000000003</v>
      </c>
      <c r="S52" s="1200">
        <f t="shared" si="19"/>
        <v>442323.20000000001</v>
      </c>
      <c r="T52" s="1200">
        <f t="shared" si="19"/>
        <v>360108.60000000003</v>
      </c>
      <c r="U52" s="1200">
        <f t="shared" si="19"/>
        <v>389123.7</v>
      </c>
      <c r="W52" s="1855"/>
      <c r="X52" s="1208" t="s">
        <v>1304</v>
      </c>
      <c r="Y52" s="1200">
        <f t="shared" si="23"/>
        <v>311791.3</v>
      </c>
      <c r="Z52" s="1200">
        <f t="shared" si="20"/>
        <v>442323.20000000001</v>
      </c>
      <c r="AA52" s="1200">
        <f t="shared" si="20"/>
        <v>356853.8</v>
      </c>
      <c r="AB52" s="1200">
        <f t="shared" si="20"/>
        <v>385621.7</v>
      </c>
      <c r="AD52" s="1855"/>
      <c r="AE52" s="1208" t="s">
        <v>1304</v>
      </c>
      <c r="AF52" s="1200">
        <f t="shared" si="24"/>
        <v>263247.40000000002</v>
      </c>
      <c r="AG52" s="1200">
        <f t="shared" si="21"/>
        <v>360767.8</v>
      </c>
      <c r="AH52" s="1200">
        <f t="shared" si="21"/>
        <v>296238.3</v>
      </c>
      <c r="AI52" s="1200">
        <f t="shared" si="21"/>
        <v>320154.90000000002</v>
      </c>
      <c r="AK52" s="1855"/>
      <c r="AL52" s="1208" t="s">
        <v>1304</v>
      </c>
      <c r="AM52" s="1200">
        <f t="shared" si="25"/>
        <v>260919.6</v>
      </c>
      <c r="AN52" s="1200">
        <f t="shared" si="22"/>
        <v>360767.8</v>
      </c>
      <c r="AO52" s="1200">
        <f t="shared" si="22"/>
        <v>293611.8</v>
      </c>
      <c r="AP52" s="1200">
        <f t="shared" si="22"/>
        <v>317312.10000000003</v>
      </c>
      <c r="AQ52" s="1213"/>
      <c r="AS52" s="1212"/>
      <c r="AT52" s="1855"/>
      <c r="AU52" s="1208" t="s">
        <v>1304</v>
      </c>
      <c r="AV52" s="1200">
        <v>305470</v>
      </c>
      <c r="AW52" s="1200">
        <v>429440</v>
      </c>
      <c r="AX52" s="1200">
        <v>349620</v>
      </c>
      <c r="AY52" s="1200">
        <v>377790</v>
      </c>
      <c r="BA52" s="1855"/>
      <c r="BB52" s="1208" t="s">
        <v>1304</v>
      </c>
      <c r="BC52" s="1200">
        <v>302710</v>
      </c>
      <c r="BD52" s="1200">
        <v>429440</v>
      </c>
      <c r="BE52" s="1200">
        <v>346460</v>
      </c>
      <c r="BF52" s="1200">
        <v>374390</v>
      </c>
      <c r="BH52" s="1855"/>
      <c r="BI52" s="1208" t="s">
        <v>1304</v>
      </c>
      <c r="BJ52" s="1200">
        <v>255580</v>
      </c>
      <c r="BK52" s="1200">
        <v>350260</v>
      </c>
      <c r="BL52" s="1200">
        <v>287610</v>
      </c>
      <c r="BM52" s="1200">
        <v>310830</v>
      </c>
      <c r="BO52" s="1855"/>
      <c r="BP52" s="1208" t="s">
        <v>1304</v>
      </c>
      <c r="BQ52" s="1200">
        <v>253320</v>
      </c>
      <c r="BR52" s="1200">
        <v>350260</v>
      </c>
      <c r="BS52" s="1200">
        <v>285060</v>
      </c>
      <c r="BT52" s="1200">
        <v>308070</v>
      </c>
      <c r="BU52" s="1213"/>
    </row>
    <row r="53" spans="15:73">
      <c r="O53" s="1212"/>
      <c r="P53" s="1854" t="s">
        <v>1467</v>
      </c>
      <c r="Q53" s="1208" t="s">
        <v>1305</v>
      </c>
      <c r="R53" s="1200">
        <f t="shared" si="26"/>
        <v>3059.1</v>
      </c>
      <c r="S53" s="1200">
        <f t="shared" si="19"/>
        <v>4120</v>
      </c>
      <c r="T53" s="1200">
        <f t="shared" si="19"/>
        <v>4902.8</v>
      </c>
      <c r="U53" s="1200">
        <f t="shared" si="19"/>
        <v>5304.5</v>
      </c>
      <c r="W53" s="1854" t="s">
        <v>1467</v>
      </c>
      <c r="X53" s="1208" t="s">
        <v>1305</v>
      </c>
      <c r="Y53" s="1200">
        <f t="shared" si="23"/>
        <v>3028.2000000000003</v>
      </c>
      <c r="Z53" s="1200">
        <f t="shared" si="20"/>
        <v>4120</v>
      </c>
      <c r="AA53" s="1200">
        <f t="shared" si="20"/>
        <v>4851.3</v>
      </c>
      <c r="AB53" s="1200">
        <f t="shared" si="20"/>
        <v>5253</v>
      </c>
      <c r="AD53" s="1854" t="s">
        <v>1467</v>
      </c>
      <c r="AE53" s="1208" t="s">
        <v>1305</v>
      </c>
      <c r="AF53" s="1200">
        <f t="shared" si="24"/>
        <v>2554.4</v>
      </c>
      <c r="AG53" s="1200">
        <f t="shared" si="21"/>
        <v>3368.1</v>
      </c>
      <c r="AH53" s="1200">
        <f t="shared" si="21"/>
        <v>4037.6</v>
      </c>
      <c r="AI53" s="1200">
        <f t="shared" si="21"/>
        <v>4367.2</v>
      </c>
      <c r="AK53" s="1854" t="s">
        <v>1467</v>
      </c>
      <c r="AL53" s="1208" t="s">
        <v>1305</v>
      </c>
      <c r="AM53" s="1200">
        <f t="shared" si="25"/>
        <v>2533.8000000000002</v>
      </c>
      <c r="AN53" s="1200">
        <f t="shared" si="22"/>
        <v>3368.1</v>
      </c>
      <c r="AO53" s="1200">
        <f t="shared" si="22"/>
        <v>3996.4</v>
      </c>
      <c r="AP53" s="1200">
        <f t="shared" si="22"/>
        <v>4326</v>
      </c>
      <c r="AQ53" s="1213"/>
      <c r="AS53" s="1212"/>
      <c r="AT53" s="1854" t="s">
        <v>1467</v>
      </c>
      <c r="AU53" s="1208" t="s">
        <v>1305</v>
      </c>
      <c r="AV53" s="1200">
        <v>2970</v>
      </c>
      <c r="AW53" s="1200">
        <v>4000</v>
      </c>
      <c r="AX53" s="1200">
        <v>4760</v>
      </c>
      <c r="AY53" s="1200">
        <v>5150</v>
      </c>
      <c r="BA53" s="1854" t="s">
        <v>1467</v>
      </c>
      <c r="BB53" s="1208" t="s">
        <v>1305</v>
      </c>
      <c r="BC53" s="1200">
        <v>2940</v>
      </c>
      <c r="BD53" s="1200">
        <v>4000</v>
      </c>
      <c r="BE53" s="1200">
        <v>4710</v>
      </c>
      <c r="BF53" s="1200">
        <v>5100</v>
      </c>
      <c r="BH53" s="1854" t="s">
        <v>1467</v>
      </c>
      <c r="BI53" s="1208" t="s">
        <v>1305</v>
      </c>
      <c r="BJ53" s="1200">
        <v>2480</v>
      </c>
      <c r="BK53" s="1200">
        <v>3270</v>
      </c>
      <c r="BL53" s="1200">
        <v>3920</v>
      </c>
      <c r="BM53" s="1200">
        <v>4240</v>
      </c>
      <c r="BO53" s="1854" t="s">
        <v>1467</v>
      </c>
      <c r="BP53" s="1208" t="s">
        <v>1305</v>
      </c>
      <c r="BQ53" s="1200">
        <v>2460</v>
      </c>
      <c r="BR53" s="1200">
        <v>3270</v>
      </c>
      <c r="BS53" s="1200">
        <v>3880</v>
      </c>
      <c r="BT53" s="1200">
        <v>4200</v>
      </c>
      <c r="BU53" s="1213"/>
    </row>
    <row r="54" spans="15:73">
      <c r="O54" s="1212"/>
      <c r="P54" s="1856"/>
      <c r="Q54" s="1208" t="s">
        <v>1306</v>
      </c>
      <c r="R54" s="1200">
        <f t="shared" si="26"/>
        <v>4408.4000000000005</v>
      </c>
      <c r="S54" s="1200">
        <f t="shared" si="19"/>
        <v>5984.3</v>
      </c>
      <c r="T54" s="1200">
        <f t="shared" si="19"/>
        <v>7076.1</v>
      </c>
      <c r="U54" s="1200">
        <f t="shared" si="19"/>
        <v>7632.3</v>
      </c>
      <c r="W54" s="1856"/>
      <c r="X54" s="1208" t="s">
        <v>1306</v>
      </c>
      <c r="Y54" s="1200">
        <f t="shared" si="23"/>
        <v>4367.2</v>
      </c>
      <c r="Z54" s="1200">
        <f t="shared" si="20"/>
        <v>5984.3</v>
      </c>
      <c r="AA54" s="1200">
        <f t="shared" si="20"/>
        <v>7004</v>
      </c>
      <c r="AB54" s="1200">
        <f t="shared" si="20"/>
        <v>7570.5</v>
      </c>
      <c r="AD54" s="1856"/>
      <c r="AE54" s="1208" t="s">
        <v>1306</v>
      </c>
      <c r="AF54" s="1200">
        <f t="shared" si="24"/>
        <v>3687.4</v>
      </c>
      <c r="AG54" s="1200">
        <f t="shared" si="21"/>
        <v>4882.2</v>
      </c>
      <c r="AH54" s="1200">
        <f t="shared" si="21"/>
        <v>5819.5</v>
      </c>
      <c r="AI54" s="1200">
        <f t="shared" si="21"/>
        <v>6293.3</v>
      </c>
      <c r="AK54" s="1856"/>
      <c r="AL54" s="1208" t="s">
        <v>1306</v>
      </c>
      <c r="AM54" s="1200">
        <f t="shared" si="25"/>
        <v>3656.5</v>
      </c>
      <c r="AN54" s="1200">
        <f t="shared" si="22"/>
        <v>4882.2</v>
      </c>
      <c r="AO54" s="1200">
        <f t="shared" si="22"/>
        <v>5768</v>
      </c>
      <c r="AP54" s="1200">
        <f t="shared" si="22"/>
        <v>6231.5</v>
      </c>
      <c r="AQ54" s="1213"/>
      <c r="AS54" s="1212"/>
      <c r="AT54" s="1856"/>
      <c r="AU54" s="1208" t="s">
        <v>1306</v>
      </c>
      <c r="AV54" s="1200">
        <v>4280</v>
      </c>
      <c r="AW54" s="1200">
        <v>5810</v>
      </c>
      <c r="AX54" s="1200">
        <v>6870</v>
      </c>
      <c r="AY54" s="1200">
        <v>7410</v>
      </c>
      <c r="BA54" s="1856"/>
      <c r="BB54" s="1208" t="s">
        <v>1306</v>
      </c>
      <c r="BC54" s="1200">
        <v>4240</v>
      </c>
      <c r="BD54" s="1200">
        <v>5810</v>
      </c>
      <c r="BE54" s="1200">
        <v>6800</v>
      </c>
      <c r="BF54" s="1200">
        <v>7350</v>
      </c>
      <c r="BH54" s="1856"/>
      <c r="BI54" s="1208" t="s">
        <v>1306</v>
      </c>
      <c r="BJ54" s="1200">
        <v>3580</v>
      </c>
      <c r="BK54" s="1200">
        <v>4740</v>
      </c>
      <c r="BL54" s="1200">
        <v>5650</v>
      </c>
      <c r="BM54" s="1200">
        <v>6110</v>
      </c>
      <c r="BO54" s="1856"/>
      <c r="BP54" s="1208" t="s">
        <v>1306</v>
      </c>
      <c r="BQ54" s="1200">
        <v>3550</v>
      </c>
      <c r="BR54" s="1200">
        <v>4740</v>
      </c>
      <c r="BS54" s="1200">
        <v>5600</v>
      </c>
      <c r="BT54" s="1200">
        <v>6050</v>
      </c>
      <c r="BU54" s="1213"/>
    </row>
    <row r="55" spans="15:73">
      <c r="O55" s="1212"/>
      <c r="P55" s="1855"/>
      <c r="Q55" s="1208" t="s">
        <v>413</v>
      </c>
      <c r="R55" s="1200">
        <f t="shared" si="26"/>
        <v>8167.9000000000005</v>
      </c>
      <c r="S55" s="1200">
        <f t="shared" si="19"/>
        <v>11051.9</v>
      </c>
      <c r="T55" s="1200">
        <f t="shared" si="19"/>
        <v>13081</v>
      </c>
      <c r="U55" s="1200">
        <f t="shared" si="19"/>
        <v>14131.6</v>
      </c>
      <c r="W55" s="1855"/>
      <c r="X55" s="1208" t="s">
        <v>413</v>
      </c>
      <c r="Y55" s="1200">
        <f t="shared" si="23"/>
        <v>8095.8</v>
      </c>
      <c r="Z55" s="1200">
        <f t="shared" si="20"/>
        <v>11051.9</v>
      </c>
      <c r="AA55" s="1200">
        <f t="shared" si="20"/>
        <v>12967.7</v>
      </c>
      <c r="AB55" s="1200">
        <f t="shared" si="20"/>
        <v>13997.7</v>
      </c>
      <c r="AD55" s="1855"/>
      <c r="AE55" s="1208" t="s">
        <v>413</v>
      </c>
      <c r="AF55" s="1200">
        <f t="shared" si="24"/>
        <v>6828.9000000000005</v>
      </c>
      <c r="AG55" s="1200">
        <f t="shared" si="21"/>
        <v>9022.8000000000011</v>
      </c>
      <c r="AH55" s="1200">
        <f t="shared" si="21"/>
        <v>10773.800000000001</v>
      </c>
      <c r="AI55" s="1200">
        <f t="shared" si="21"/>
        <v>11639</v>
      </c>
      <c r="AK55" s="1855"/>
      <c r="AL55" s="1208" t="s">
        <v>413</v>
      </c>
      <c r="AM55" s="1200">
        <f t="shared" si="25"/>
        <v>6777.4000000000005</v>
      </c>
      <c r="AN55" s="1200">
        <f t="shared" si="22"/>
        <v>9022.8000000000011</v>
      </c>
      <c r="AO55" s="1200">
        <f t="shared" si="22"/>
        <v>10681.1</v>
      </c>
      <c r="AP55" s="1200">
        <f t="shared" si="22"/>
        <v>11536</v>
      </c>
      <c r="AQ55" s="1213"/>
      <c r="AS55" s="1212"/>
      <c r="AT55" s="1855"/>
      <c r="AU55" s="1208" t="s">
        <v>413</v>
      </c>
      <c r="AV55" s="1200">
        <v>7930</v>
      </c>
      <c r="AW55" s="1200">
        <v>10730</v>
      </c>
      <c r="AX55" s="1200">
        <v>12700</v>
      </c>
      <c r="AY55" s="1200">
        <v>13720</v>
      </c>
      <c r="BA55" s="1855"/>
      <c r="BB55" s="1208" t="s">
        <v>413</v>
      </c>
      <c r="BC55" s="1200">
        <v>7860</v>
      </c>
      <c r="BD55" s="1200">
        <v>10730</v>
      </c>
      <c r="BE55" s="1200">
        <v>12590</v>
      </c>
      <c r="BF55" s="1200">
        <v>13590</v>
      </c>
      <c r="BH55" s="1855"/>
      <c r="BI55" s="1208" t="s">
        <v>413</v>
      </c>
      <c r="BJ55" s="1200">
        <v>6630</v>
      </c>
      <c r="BK55" s="1200">
        <v>8760</v>
      </c>
      <c r="BL55" s="1200">
        <v>10460</v>
      </c>
      <c r="BM55" s="1200">
        <v>11300</v>
      </c>
      <c r="BO55" s="1855"/>
      <c r="BP55" s="1208" t="s">
        <v>413</v>
      </c>
      <c r="BQ55" s="1200">
        <v>6580</v>
      </c>
      <c r="BR55" s="1200">
        <v>8760</v>
      </c>
      <c r="BS55" s="1200">
        <v>10370</v>
      </c>
      <c r="BT55" s="1200">
        <v>11200</v>
      </c>
      <c r="BU55" s="1213"/>
    </row>
    <row r="56" spans="15:73">
      <c r="O56" s="1212"/>
      <c r="P56" s="1208" t="s">
        <v>416</v>
      </c>
      <c r="Q56" s="1208" t="s">
        <v>414</v>
      </c>
      <c r="R56" s="1200">
        <f t="shared" si="26"/>
        <v>1720.1000000000001</v>
      </c>
      <c r="S56" s="1200">
        <f t="shared" si="19"/>
        <v>1009.4</v>
      </c>
      <c r="T56" s="1200">
        <f t="shared" si="19"/>
        <v>1915.8</v>
      </c>
      <c r="U56" s="1200">
        <f t="shared" si="19"/>
        <v>2070.3000000000002</v>
      </c>
      <c r="W56" s="1208" t="s">
        <v>416</v>
      </c>
      <c r="X56" s="1208" t="s">
        <v>414</v>
      </c>
      <c r="Y56" s="1200">
        <f t="shared" si="23"/>
        <v>1699.5</v>
      </c>
      <c r="Z56" s="1200">
        <f t="shared" si="20"/>
        <v>1009.4</v>
      </c>
      <c r="AA56" s="1200">
        <f t="shared" si="20"/>
        <v>1895.2</v>
      </c>
      <c r="AB56" s="1200">
        <f t="shared" si="20"/>
        <v>2049.7000000000003</v>
      </c>
      <c r="AD56" s="1208" t="s">
        <v>416</v>
      </c>
      <c r="AE56" s="1208" t="s">
        <v>414</v>
      </c>
      <c r="AF56" s="1200">
        <f t="shared" si="24"/>
        <v>1730.4</v>
      </c>
      <c r="AG56" s="1200">
        <f t="shared" si="21"/>
        <v>1009.4</v>
      </c>
      <c r="AH56" s="1200">
        <f t="shared" si="21"/>
        <v>1926.1000000000001</v>
      </c>
      <c r="AI56" s="1200">
        <f t="shared" si="21"/>
        <v>2080.6</v>
      </c>
      <c r="AK56" s="1208" t="s">
        <v>416</v>
      </c>
      <c r="AL56" s="1208" t="s">
        <v>414</v>
      </c>
      <c r="AM56" s="1200">
        <f>BQ56*1.03</f>
        <v>1720.1000000000001</v>
      </c>
      <c r="AN56" s="1200">
        <f t="shared" si="22"/>
        <v>1009.4</v>
      </c>
      <c r="AO56" s="1200">
        <f t="shared" si="22"/>
        <v>1915.8</v>
      </c>
      <c r="AP56" s="1200">
        <f t="shared" si="22"/>
        <v>2070.3000000000002</v>
      </c>
      <c r="AQ56" s="1213"/>
      <c r="AS56" s="1212"/>
      <c r="AT56" s="1208" t="s">
        <v>416</v>
      </c>
      <c r="AU56" s="1208" t="s">
        <v>414</v>
      </c>
      <c r="AV56" s="1201">
        <v>1670</v>
      </c>
      <c r="AW56" s="1201">
        <v>980</v>
      </c>
      <c r="AX56" s="1201">
        <v>1860</v>
      </c>
      <c r="AY56" s="1201">
        <v>2010</v>
      </c>
      <c r="BA56" s="1208" t="s">
        <v>416</v>
      </c>
      <c r="BB56" s="1208" t="s">
        <v>414</v>
      </c>
      <c r="BC56" s="1201">
        <v>1650</v>
      </c>
      <c r="BD56" s="1201">
        <v>980</v>
      </c>
      <c r="BE56" s="1201">
        <v>1840</v>
      </c>
      <c r="BF56" s="1201">
        <v>1990</v>
      </c>
      <c r="BH56" s="1208" t="s">
        <v>416</v>
      </c>
      <c r="BI56" s="1208" t="s">
        <v>414</v>
      </c>
      <c r="BJ56" s="1201">
        <v>1680</v>
      </c>
      <c r="BK56" s="1201">
        <v>980</v>
      </c>
      <c r="BL56" s="1201">
        <v>1870</v>
      </c>
      <c r="BM56" s="1201">
        <v>2020</v>
      </c>
      <c r="BO56" s="1208" t="s">
        <v>416</v>
      </c>
      <c r="BP56" s="1208" t="s">
        <v>414</v>
      </c>
      <c r="BQ56" s="1201">
        <v>1670</v>
      </c>
      <c r="BR56" s="1201">
        <v>980</v>
      </c>
      <c r="BS56" s="1201">
        <v>1860</v>
      </c>
      <c r="BT56" s="1201">
        <v>2010</v>
      </c>
      <c r="BU56" s="1213"/>
    </row>
    <row r="57" spans="15:73">
      <c r="O57" s="1212"/>
      <c r="P57" s="1208" t="s">
        <v>415</v>
      </c>
      <c r="Q57" s="1208" t="s">
        <v>1307</v>
      </c>
      <c r="R57" s="1201">
        <v>13050</v>
      </c>
      <c r="S57" s="1201">
        <v>13050</v>
      </c>
      <c r="T57" s="1201">
        <v>13050</v>
      </c>
      <c r="U57" s="1201">
        <v>13050</v>
      </c>
      <c r="W57" s="1208" t="s">
        <v>415</v>
      </c>
      <c r="X57" s="1208" t="s">
        <v>1307</v>
      </c>
      <c r="Y57" s="1201">
        <v>13050</v>
      </c>
      <c r="Z57" s="1201">
        <v>13050</v>
      </c>
      <c r="AA57" s="1201">
        <v>13050</v>
      </c>
      <c r="AB57" s="1201">
        <v>13050</v>
      </c>
      <c r="AD57" s="1208" t="s">
        <v>415</v>
      </c>
      <c r="AE57" s="1208" t="s">
        <v>1307</v>
      </c>
      <c r="AF57" s="1201">
        <v>13050</v>
      </c>
      <c r="AG57" s="1201">
        <v>13050</v>
      </c>
      <c r="AH57" s="1201">
        <v>13050</v>
      </c>
      <c r="AI57" s="1201">
        <v>13050</v>
      </c>
      <c r="AK57" s="1208" t="s">
        <v>415</v>
      </c>
      <c r="AL57" s="1208" t="s">
        <v>1307</v>
      </c>
      <c r="AM57" s="1201">
        <v>13050</v>
      </c>
      <c r="AN57" s="1201">
        <v>13050</v>
      </c>
      <c r="AO57" s="1201">
        <v>13050</v>
      </c>
      <c r="AP57" s="1201">
        <v>13050</v>
      </c>
      <c r="AQ57" s="1213"/>
      <c r="AS57" s="1212"/>
      <c r="AT57" s="1208" t="s">
        <v>415</v>
      </c>
      <c r="AU57" s="1208" t="s">
        <v>1307</v>
      </c>
      <c r="AV57" s="1201">
        <v>13050</v>
      </c>
      <c r="AW57" s="1201">
        <v>13050</v>
      </c>
      <c r="AX57" s="1201">
        <v>13050</v>
      </c>
      <c r="AY57" s="1201">
        <v>13050</v>
      </c>
      <c r="BA57" s="1208" t="s">
        <v>415</v>
      </c>
      <c r="BB57" s="1208" t="s">
        <v>1307</v>
      </c>
      <c r="BC57" s="1201">
        <v>13050</v>
      </c>
      <c r="BD57" s="1201">
        <v>13050</v>
      </c>
      <c r="BE57" s="1201">
        <v>13050</v>
      </c>
      <c r="BF57" s="1201">
        <v>13050</v>
      </c>
      <c r="BH57" s="1208" t="s">
        <v>415</v>
      </c>
      <c r="BI57" s="1208" t="s">
        <v>1307</v>
      </c>
      <c r="BJ57" s="1201">
        <v>13050</v>
      </c>
      <c r="BK57" s="1201">
        <v>13050</v>
      </c>
      <c r="BL57" s="1201">
        <v>13050</v>
      </c>
      <c r="BM57" s="1201">
        <v>13050</v>
      </c>
      <c r="BO57" s="1208" t="s">
        <v>415</v>
      </c>
      <c r="BP57" s="1208" t="s">
        <v>1307</v>
      </c>
      <c r="BQ57" s="1201">
        <v>13050</v>
      </c>
      <c r="BR57" s="1201">
        <v>13050</v>
      </c>
      <c r="BS57" s="1201">
        <v>13050</v>
      </c>
      <c r="BT57" s="1201">
        <v>13050</v>
      </c>
      <c r="BU57" s="1213"/>
    </row>
    <row r="58" spans="15:73">
      <c r="O58" s="1212"/>
      <c r="P58" s="1857" t="s">
        <v>408</v>
      </c>
      <c r="Q58" s="1854" t="s">
        <v>1308</v>
      </c>
      <c r="R58" s="1204">
        <v>107580</v>
      </c>
      <c r="S58" s="1204">
        <v>205450</v>
      </c>
      <c r="T58" s="1204">
        <v>113920</v>
      </c>
      <c r="U58" s="1204">
        <v>122870</v>
      </c>
      <c r="W58" s="1857" t="s">
        <v>408</v>
      </c>
      <c r="X58" s="1854" t="s">
        <v>1308</v>
      </c>
      <c r="Y58" s="1204">
        <v>106610</v>
      </c>
      <c r="Z58" s="1204">
        <v>205450</v>
      </c>
      <c r="AA58" s="1204">
        <v>112900</v>
      </c>
      <c r="AB58" s="1204">
        <v>121760</v>
      </c>
      <c r="AD58" s="1857" t="s">
        <v>408</v>
      </c>
      <c r="AE58" s="1854" t="s">
        <v>1308</v>
      </c>
      <c r="AF58" s="1204">
        <v>90110</v>
      </c>
      <c r="AG58" s="1204">
        <v>167550</v>
      </c>
      <c r="AH58" s="1204">
        <v>93800</v>
      </c>
      <c r="AI58" s="1204">
        <v>101080</v>
      </c>
      <c r="AK58" s="1857" t="s">
        <v>408</v>
      </c>
      <c r="AL58" s="1854" t="s">
        <v>1308</v>
      </c>
      <c r="AM58" s="1204">
        <v>89320</v>
      </c>
      <c r="AN58" s="1204">
        <v>167550</v>
      </c>
      <c r="AO58" s="1204">
        <v>85310</v>
      </c>
      <c r="AP58" s="1204">
        <v>100180</v>
      </c>
      <c r="AQ58" s="1213"/>
      <c r="AS58" s="1212"/>
      <c r="AT58" s="1857" t="s">
        <v>408</v>
      </c>
      <c r="AU58" s="1854" t="s">
        <v>1308</v>
      </c>
      <c r="AV58" s="1204">
        <v>107580</v>
      </c>
      <c r="AW58" s="1204">
        <v>205450</v>
      </c>
      <c r="AX58" s="1204">
        <v>113920</v>
      </c>
      <c r="AY58" s="1204">
        <v>122870</v>
      </c>
      <c r="BA58" s="1857" t="s">
        <v>408</v>
      </c>
      <c r="BB58" s="1854" t="s">
        <v>1308</v>
      </c>
      <c r="BC58" s="1204">
        <v>106610</v>
      </c>
      <c r="BD58" s="1204">
        <v>205450</v>
      </c>
      <c r="BE58" s="1204">
        <v>112900</v>
      </c>
      <c r="BF58" s="1204">
        <v>121760</v>
      </c>
      <c r="BH58" s="1857" t="s">
        <v>408</v>
      </c>
      <c r="BI58" s="1854" t="s">
        <v>1308</v>
      </c>
      <c r="BJ58" s="1204">
        <v>90110</v>
      </c>
      <c r="BK58" s="1204">
        <v>167550</v>
      </c>
      <c r="BL58" s="1204">
        <v>93800</v>
      </c>
      <c r="BM58" s="1204">
        <v>101080</v>
      </c>
      <c r="BO58" s="1857" t="s">
        <v>408</v>
      </c>
      <c r="BP58" s="1854" t="s">
        <v>1308</v>
      </c>
      <c r="BQ58" s="1204">
        <v>89320</v>
      </c>
      <c r="BR58" s="1204">
        <v>167550</v>
      </c>
      <c r="BS58" s="1204">
        <v>85310</v>
      </c>
      <c r="BT58" s="1204">
        <v>100180</v>
      </c>
      <c r="BU58" s="1213"/>
    </row>
    <row r="59" spans="15:73">
      <c r="O59" s="1212"/>
      <c r="P59" s="1858"/>
      <c r="Q59" s="1855"/>
      <c r="R59" s="1205">
        <f>R58/100000</f>
        <v>1.0758000000000001</v>
      </c>
      <c r="S59" s="1205">
        <f t="shared" ref="S59:U59" si="27">S58/100000</f>
        <v>2.0545</v>
      </c>
      <c r="T59" s="1205">
        <f t="shared" si="27"/>
        <v>1.1392</v>
      </c>
      <c r="U59" s="1205">
        <f t="shared" si="27"/>
        <v>1.2286999999999999</v>
      </c>
      <c r="W59" s="1858"/>
      <c r="X59" s="1855"/>
      <c r="Y59" s="1205">
        <f>Y58/100000</f>
        <v>1.0661</v>
      </c>
      <c r="Z59" s="1205">
        <f t="shared" ref="Z59:AB59" si="28">Z58/100000</f>
        <v>2.0545</v>
      </c>
      <c r="AA59" s="1205">
        <f t="shared" si="28"/>
        <v>1.129</v>
      </c>
      <c r="AB59" s="1205">
        <f t="shared" si="28"/>
        <v>1.2176</v>
      </c>
      <c r="AD59" s="1858"/>
      <c r="AE59" s="1855"/>
      <c r="AF59" s="1205">
        <f>AF58/100000</f>
        <v>0.90110000000000001</v>
      </c>
      <c r="AG59" s="1205">
        <f t="shared" ref="AG59:AI59" si="29">AG58/100000</f>
        <v>1.6755</v>
      </c>
      <c r="AH59" s="1205">
        <f t="shared" si="29"/>
        <v>0.93799999999999994</v>
      </c>
      <c r="AI59" s="1205">
        <f t="shared" si="29"/>
        <v>1.0107999999999999</v>
      </c>
      <c r="AK59" s="1858"/>
      <c r="AL59" s="1855"/>
      <c r="AM59" s="1205">
        <f>AM58/100000</f>
        <v>0.89319999999999999</v>
      </c>
      <c r="AN59" s="1205">
        <f t="shared" ref="AN59:AP59" si="30">AN58/100000</f>
        <v>1.6755</v>
      </c>
      <c r="AO59" s="1205">
        <f t="shared" si="30"/>
        <v>0.85309999999999997</v>
      </c>
      <c r="AP59" s="1205">
        <f t="shared" si="30"/>
        <v>1.0018</v>
      </c>
      <c r="AQ59" s="1213"/>
      <c r="AS59" s="1212"/>
      <c r="AT59" s="1858"/>
      <c r="AU59" s="1855"/>
      <c r="AV59" s="1205">
        <f>AV58/100000</f>
        <v>1.0758000000000001</v>
      </c>
      <c r="AW59" s="1205">
        <f t="shared" ref="AW59:AY59" si="31">AW58/100000</f>
        <v>2.0545</v>
      </c>
      <c r="AX59" s="1205">
        <f t="shared" si="31"/>
        <v>1.1392</v>
      </c>
      <c r="AY59" s="1205">
        <f t="shared" si="31"/>
        <v>1.2286999999999999</v>
      </c>
      <c r="BA59" s="1858"/>
      <c r="BB59" s="1855"/>
      <c r="BC59" s="1205">
        <f>BC58/100000</f>
        <v>1.0661</v>
      </c>
      <c r="BD59" s="1205">
        <f t="shared" ref="BD59:BF59" si="32">BD58/100000</f>
        <v>2.0545</v>
      </c>
      <c r="BE59" s="1205">
        <f t="shared" si="32"/>
        <v>1.129</v>
      </c>
      <c r="BF59" s="1205">
        <f t="shared" si="32"/>
        <v>1.2176</v>
      </c>
      <c r="BH59" s="1858"/>
      <c r="BI59" s="1855"/>
      <c r="BJ59" s="1205">
        <f>BJ58/100000</f>
        <v>0.90110000000000001</v>
      </c>
      <c r="BK59" s="1205">
        <f t="shared" ref="BK59:BM59" si="33">BK58/100000</f>
        <v>1.6755</v>
      </c>
      <c r="BL59" s="1205">
        <f t="shared" si="33"/>
        <v>0.93799999999999994</v>
      </c>
      <c r="BM59" s="1205">
        <f t="shared" si="33"/>
        <v>1.0107999999999999</v>
      </c>
      <c r="BO59" s="1858"/>
      <c r="BP59" s="1855"/>
      <c r="BQ59" s="1205">
        <f>BQ58/100000</f>
        <v>0.89319999999999999</v>
      </c>
      <c r="BR59" s="1205">
        <f t="shared" ref="BR59:BT59" si="34">BR58/100000</f>
        <v>1.6755</v>
      </c>
      <c r="BS59" s="1205">
        <f t="shared" si="34"/>
        <v>0.85309999999999997</v>
      </c>
      <c r="BT59" s="1205">
        <f t="shared" si="34"/>
        <v>1.0018</v>
      </c>
      <c r="BU59" s="1213"/>
    </row>
    <row r="60" spans="15:73">
      <c r="O60" s="1212"/>
      <c r="P60" s="1216"/>
      <c r="R60" s="1217">
        <f t="shared" ref="R60:AH60" si="35">R48+R49+R50+R55+R56</f>
        <v>660920.1</v>
      </c>
      <c r="S60" s="1217">
        <f t="shared" si="35"/>
        <v>867177.60000000009</v>
      </c>
      <c r="T60" s="1217">
        <f t="shared" si="35"/>
        <v>640917.50000000012</v>
      </c>
      <c r="U60" s="1217">
        <f t="shared" si="35"/>
        <v>692572.00000000012</v>
      </c>
      <c r="V60" s="1217"/>
      <c r="W60" s="1217"/>
      <c r="X60" s="1217"/>
      <c r="Y60" s="1217">
        <f t="shared" si="35"/>
        <v>656151.19999999995</v>
      </c>
      <c r="Z60" s="1217">
        <f t="shared" si="35"/>
        <v>867177.60000000009</v>
      </c>
      <c r="AA60" s="1217">
        <f t="shared" si="35"/>
        <v>636127.99999999988</v>
      </c>
      <c r="AB60" s="1217">
        <f t="shared" si="35"/>
        <v>687391.09999999986</v>
      </c>
      <c r="AC60" s="1217"/>
      <c r="AD60" s="1217"/>
      <c r="AE60" s="1217"/>
      <c r="AF60" s="1217">
        <f t="shared" si="35"/>
        <v>552399.30000000005</v>
      </c>
      <c r="AG60" s="1217">
        <f t="shared" si="35"/>
        <v>707620.3</v>
      </c>
      <c r="AH60" s="1217">
        <f t="shared" si="35"/>
        <v>526937.70000000007</v>
      </c>
      <c r="AI60" s="1217">
        <f>AI48+AI49+AI50+AI55+AI56</f>
        <v>569414.9</v>
      </c>
      <c r="AJ60" s="1217"/>
      <c r="AK60" s="1217"/>
      <c r="AL60" s="1217"/>
      <c r="AM60" s="1217">
        <f t="shared" ref="AM60:AP60" si="36">AM48+AM49+AM50+AM55+AM56</f>
        <v>548505.9</v>
      </c>
      <c r="AN60" s="1217">
        <f t="shared" si="36"/>
        <v>707620.3</v>
      </c>
      <c r="AO60" s="1217">
        <f t="shared" si="36"/>
        <v>523075.2</v>
      </c>
      <c r="AP60" s="1217">
        <f t="shared" si="36"/>
        <v>565253.70000000007</v>
      </c>
      <c r="AQ60" s="1213"/>
      <c r="AS60" s="1212"/>
      <c r="AT60" s="1216"/>
      <c r="AV60" s="1217">
        <f t="shared" ref="AV60:AY60" si="37">AV48+AV49+AV50+AV55+AV56</f>
        <v>641670</v>
      </c>
      <c r="AW60" s="1217">
        <f t="shared" si="37"/>
        <v>841920</v>
      </c>
      <c r="AX60" s="1217">
        <f t="shared" si="37"/>
        <v>622250</v>
      </c>
      <c r="AY60" s="1217">
        <f t="shared" si="37"/>
        <v>672400</v>
      </c>
      <c r="AZ60" s="1217"/>
      <c r="BA60" s="1217"/>
      <c r="BB60" s="1217"/>
      <c r="BC60" s="1217">
        <f t="shared" ref="BC60:BF60" si="38">BC48+BC49+BC50+BC55+BC56</f>
        <v>637040</v>
      </c>
      <c r="BD60" s="1217">
        <f t="shared" si="38"/>
        <v>841920</v>
      </c>
      <c r="BE60" s="1217">
        <f t="shared" si="38"/>
        <v>617600</v>
      </c>
      <c r="BF60" s="1217">
        <f t="shared" si="38"/>
        <v>667370</v>
      </c>
      <c r="BG60" s="1217"/>
      <c r="BH60" s="1217"/>
      <c r="BI60" s="1217"/>
      <c r="BJ60" s="1217">
        <f t="shared" ref="BJ60:BL60" si="39">BJ48+BJ49+BJ50+BJ55+BJ56</f>
        <v>536310</v>
      </c>
      <c r="BK60" s="1217">
        <f t="shared" si="39"/>
        <v>687010</v>
      </c>
      <c r="BL60" s="1217">
        <f t="shared" si="39"/>
        <v>511590</v>
      </c>
      <c r="BM60" s="1217">
        <f>BM48+BM49+BM50+BM55+BM56</f>
        <v>552830</v>
      </c>
      <c r="BN60" s="1217"/>
      <c r="BO60" s="1217"/>
      <c r="BP60" s="1217"/>
      <c r="BQ60" s="1217">
        <f t="shared" ref="BQ60:BT60" si="40">BQ48+BQ49+BQ50+BQ55+BQ56</f>
        <v>532530</v>
      </c>
      <c r="BR60" s="1217">
        <f t="shared" si="40"/>
        <v>687010</v>
      </c>
      <c r="BS60" s="1217">
        <f t="shared" si="40"/>
        <v>507840</v>
      </c>
      <c r="BT60" s="1217">
        <f t="shared" si="40"/>
        <v>548790</v>
      </c>
      <c r="BU60" s="1213"/>
    </row>
    <row r="61" spans="15:73">
      <c r="O61" s="1212"/>
      <c r="Y61" s="1228"/>
      <c r="Z61" s="1228"/>
      <c r="AA61" s="1228"/>
      <c r="AB61" s="1228"/>
      <c r="AM61" s="1233"/>
      <c r="AN61" s="1233"/>
      <c r="AO61" s="1233"/>
      <c r="AP61" s="1233"/>
      <c r="AQ61" s="1213"/>
      <c r="AS61" s="1212"/>
      <c r="BC61" s="1228"/>
      <c r="BD61" s="1228"/>
      <c r="BE61" s="1228"/>
      <c r="BF61" s="1228"/>
      <c r="BQ61" s="1233"/>
      <c r="BR61" s="1233"/>
      <c r="BS61" s="1233"/>
      <c r="BT61" s="1233"/>
      <c r="BU61" s="1213"/>
    </row>
    <row r="62" spans="15:73">
      <c r="O62" s="1212"/>
      <c r="P62" s="1842" t="s">
        <v>1296</v>
      </c>
      <c r="Q62" s="1842"/>
      <c r="W62" s="1842" t="s">
        <v>1469</v>
      </c>
      <c r="X62" s="1842"/>
      <c r="AD62" s="1842" t="s">
        <v>1311</v>
      </c>
      <c r="AE62" s="1842"/>
      <c r="AK62" s="1842" t="s">
        <v>1470</v>
      </c>
      <c r="AL62" s="1842"/>
      <c r="AQ62" s="1213"/>
      <c r="AS62" s="1212"/>
      <c r="AT62" s="1842" t="s">
        <v>1296</v>
      </c>
      <c r="AU62" s="1842"/>
      <c r="BA62" s="1842" t="s">
        <v>1469</v>
      </c>
      <c r="BB62" s="1842"/>
      <c r="BH62" s="1842" t="s">
        <v>1311</v>
      </c>
      <c r="BI62" s="1842"/>
      <c r="BO62" s="1842" t="s">
        <v>1470</v>
      </c>
      <c r="BP62" s="1842"/>
      <c r="BU62" s="1213"/>
    </row>
    <row r="63" spans="15:73">
      <c r="O63" s="1212"/>
      <c r="P63" s="1843" t="s">
        <v>1297</v>
      </c>
      <c r="Q63" s="1844"/>
      <c r="R63" s="1214"/>
      <c r="S63" s="1214"/>
      <c r="T63" s="1214"/>
      <c r="U63" s="1215" t="s">
        <v>1298</v>
      </c>
      <c r="W63" s="1843" t="s">
        <v>1297</v>
      </c>
      <c r="X63" s="1844"/>
      <c r="Y63" s="1214"/>
      <c r="Z63" s="1214"/>
      <c r="AA63" s="1214"/>
      <c r="AB63" s="1215" t="s">
        <v>1298</v>
      </c>
      <c r="AD63" s="1843" t="s">
        <v>1297</v>
      </c>
      <c r="AE63" s="1844"/>
      <c r="AF63" s="1214"/>
      <c r="AG63" s="1214"/>
      <c r="AH63" s="1214"/>
      <c r="AI63" s="1215" t="s">
        <v>1298</v>
      </c>
      <c r="AK63" s="1843" t="s">
        <v>1297</v>
      </c>
      <c r="AL63" s="1844"/>
      <c r="AM63" s="1214"/>
      <c r="AN63" s="1214"/>
      <c r="AO63" s="1214"/>
      <c r="AP63" s="1215" t="s">
        <v>1298</v>
      </c>
      <c r="AQ63" s="1213"/>
      <c r="AS63" s="1212"/>
      <c r="AT63" s="1843" t="s">
        <v>1297</v>
      </c>
      <c r="AU63" s="1844"/>
      <c r="AV63" s="1214"/>
      <c r="AW63" s="1214"/>
      <c r="AX63" s="1214"/>
      <c r="AY63" s="1215" t="s">
        <v>1298</v>
      </c>
      <c r="BA63" s="1843" t="s">
        <v>1297</v>
      </c>
      <c r="BB63" s="1844"/>
      <c r="BC63" s="1214"/>
      <c r="BD63" s="1214"/>
      <c r="BE63" s="1214"/>
      <c r="BF63" s="1215" t="s">
        <v>1298</v>
      </c>
      <c r="BH63" s="1843" t="s">
        <v>1297</v>
      </c>
      <c r="BI63" s="1844"/>
      <c r="BJ63" s="1214"/>
      <c r="BK63" s="1214"/>
      <c r="BL63" s="1214"/>
      <c r="BM63" s="1215" t="s">
        <v>1298</v>
      </c>
      <c r="BO63" s="1843" t="s">
        <v>1297</v>
      </c>
      <c r="BP63" s="1844"/>
      <c r="BQ63" s="1214"/>
      <c r="BR63" s="1214"/>
      <c r="BS63" s="1214"/>
      <c r="BT63" s="1215" t="s">
        <v>1298</v>
      </c>
      <c r="BU63" s="1213"/>
    </row>
    <row r="64" spans="15:73">
      <c r="O64" s="1212"/>
      <c r="P64" s="1198" t="s">
        <v>409</v>
      </c>
      <c r="Q64" s="1198" t="s">
        <v>410</v>
      </c>
      <c r="R64" s="1198" t="s">
        <v>375</v>
      </c>
      <c r="S64" s="1198" t="s">
        <v>411</v>
      </c>
      <c r="T64" s="1198" t="s">
        <v>1299</v>
      </c>
      <c r="U64" s="1198" t="s">
        <v>1300</v>
      </c>
      <c r="W64" s="1198" t="s">
        <v>409</v>
      </c>
      <c r="X64" s="1198" t="s">
        <v>410</v>
      </c>
      <c r="Y64" s="1198" t="s">
        <v>375</v>
      </c>
      <c r="Z64" s="1198" t="s">
        <v>411</v>
      </c>
      <c r="AA64" s="1198" t="s">
        <v>1299</v>
      </c>
      <c r="AB64" s="1198" t="s">
        <v>1300</v>
      </c>
      <c r="AD64" s="1198" t="s">
        <v>409</v>
      </c>
      <c r="AE64" s="1198" t="s">
        <v>410</v>
      </c>
      <c r="AF64" s="1198" t="s">
        <v>375</v>
      </c>
      <c r="AG64" s="1198" t="s">
        <v>411</v>
      </c>
      <c r="AH64" s="1198" t="s">
        <v>1299</v>
      </c>
      <c r="AI64" s="1198" t="s">
        <v>1300</v>
      </c>
      <c r="AK64" s="1198" t="s">
        <v>409</v>
      </c>
      <c r="AL64" s="1198" t="s">
        <v>410</v>
      </c>
      <c r="AM64" s="1198" t="s">
        <v>375</v>
      </c>
      <c r="AN64" s="1198" t="s">
        <v>411</v>
      </c>
      <c r="AO64" s="1198" t="s">
        <v>1299</v>
      </c>
      <c r="AP64" s="1198" t="s">
        <v>1300</v>
      </c>
      <c r="AQ64" s="1213"/>
      <c r="AS64" s="1212"/>
      <c r="AT64" s="1198" t="s">
        <v>409</v>
      </c>
      <c r="AU64" s="1198" t="s">
        <v>410</v>
      </c>
      <c r="AV64" s="1198" t="s">
        <v>375</v>
      </c>
      <c r="AW64" s="1198" t="s">
        <v>411</v>
      </c>
      <c r="AX64" s="1198" t="s">
        <v>1299</v>
      </c>
      <c r="AY64" s="1198" t="s">
        <v>1300</v>
      </c>
      <c r="BA64" s="1198" t="s">
        <v>409</v>
      </c>
      <c r="BB64" s="1198" t="s">
        <v>410</v>
      </c>
      <c r="BC64" s="1198" t="s">
        <v>375</v>
      </c>
      <c r="BD64" s="1198" t="s">
        <v>411</v>
      </c>
      <c r="BE64" s="1198" t="s">
        <v>1299</v>
      </c>
      <c r="BF64" s="1198" t="s">
        <v>1300</v>
      </c>
      <c r="BH64" s="1198" t="s">
        <v>409</v>
      </c>
      <c r="BI64" s="1198" t="s">
        <v>410</v>
      </c>
      <c r="BJ64" s="1198" t="s">
        <v>375</v>
      </c>
      <c r="BK64" s="1198" t="s">
        <v>411</v>
      </c>
      <c r="BL64" s="1198" t="s">
        <v>1299</v>
      </c>
      <c r="BM64" s="1198" t="s">
        <v>1300</v>
      </c>
      <c r="BO64" s="1198" t="s">
        <v>409</v>
      </c>
      <c r="BP64" s="1198" t="s">
        <v>410</v>
      </c>
      <c r="BQ64" s="1198" t="s">
        <v>375</v>
      </c>
      <c r="BR64" s="1198" t="s">
        <v>411</v>
      </c>
      <c r="BS64" s="1198" t="s">
        <v>1299</v>
      </c>
      <c r="BT64" s="1198" t="s">
        <v>1300</v>
      </c>
      <c r="BU64" s="1213"/>
    </row>
    <row r="65" spans="15:73">
      <c r="O65" s="1212"/>
      <c r="P65" s="1208" t="s">
        <v>1301</v>
      </c>
      <c r="Q65" s="1208" t="s">
        <v>1302</v>
      </c>
      <c r="R65" s="1200">
        <f>AV65*1.03</f>
        <v>196637.30000000002</v>
      </c>
      <c r="S65" s="1200">
        <f t="shared" ref="S65:U73" si="41">AW65*1.03</f>
        <v>284867.10000000003</v>
      </c>
      <c r="T65" s="1200">
        <f t="shared" si="41"/>
        <v>162894.5</v>
      </c>
      <c r="U65" s="1200">
        <f t="shared" si="41"/>
        <v>176016.7</v>
      </c>
      <c r="W65" s="1208" t="s">
        <v>1301</v>
      </c>
      <c r="X65" s="1208" t="s">
        <v>1302</v>
      </c>
      <c r="Y65" s="1200">
        <f>BC65*1.03</f>
        <v>196637.30000000002</v>
      </c>
      <c r="Z65" s="1200">
        <f t="shared" ref="Z65:AB73" si="42">BD65*1.03</f>
        <v>284867.10000000003</v>
      </c>
      <c r="AA65" s="1200">
        <f t="shared" si="42"/>
        <v>162884.20000000001</v>
      </c>
      <c r="AB65" s="1200">
        <f t="shared" si="42"/>
        <v>176006.39999999999</v>
      </c>
      <c r="AD65" s="1208" t="s">
        <v>1301</v>
      </c>
      <c r="AE65" s="1208" t="s">
        <v>1302</v>
      </c>
      <c r="AF65" s="1200">
        <f>BJ65*1.03</f>
        <v>163121.1</v>
      </c>
      <c r="AG65" s="1200">
        <f t="shared" ref="AG65:AI73" si="43">BK65*1.03</f>
        <v>232398.9</v>
      </c>
      <c r="AH65" s="1200">
        <f t="shared" si="43"/>
        <v>132870</v>
      </c>
      <c r="AI65" s="1200">
        <f t="shared" si="43"/>
        <v>143592.30000000002</v>
      </c>
      <c r="AK65" s="1208" t="s">
        <v>1301</v>
      </c>
      <c r="AL65" s="1208" t="s">
        <v>1302</v>
      </c>
      <c r="AM65" s="1200">
        <f>BQ65*1.03</f>
        <v>163121.1</v>
      </c>
      <c r="AN65" s="1200">
        <f t="shared" ref="AN65:AP73" si="44">BR65*1.03</f>
        <v>232398.9</v>
      </c>
      <c r="AO65" s="1200">
        <f t="shared" si="44"/>
        <v>132870</v>
      </c>
      <c r="AP65" s="1200">
        <f t="shared" si="44"/>
        <v>143592.30000000002</v>
      </c>
      <c r="AQ65" s="1213"/>
      <c r="AS65" s="1212"/>
      <c r="AT65" s="1208" t="s">
        <v>1301</v>
      </c>
      <c r="AU65" s="1208" t="s">
        <v>1302</v>
      </c>
      <c r="AV65" s="1200">
        <v>190910</v>
      </c>
      <c r="AW65" s="1200">
        <v>276570</v>
      </c>
      <c r="AX65" s="1200">
        <v>158150</v>
      </c>
      <c r="AY65" s="1200">
        <v>170890</v>
      </c>
      <c r="BA65" s="1208" t="s">
        <v>1301</v>
      </c>
      <c r="BB65" s="1208" t="s">
        <v>1302</v>
      </c>
      <c r="BC65" s="1200">
        <v>190910</v>
      </c>
      <c r="BD65" s="1200">
        <v>276570</v>
      </c>
      <c r="BE65" s="1200">
        <v>158140</v>
      </c>
      <c r="BF65" s="1200">
        <v>170880</v>
      </c>
      <c r="BH65" s="1208" t="s">
        <v>1301</v>
      </c>
      <c r="BI65" s="1208" t="s">
        <v>1302</v>
      </c>
      <c r="BJ65" s="1200">
        <v>158370</v>
      </c>
      <c r="BK65" s="1200">
        <v>225630</v>
      </c>
      <c r="BL65" s="1200">
        <v>129000</v>
      </c>
      <c r="BM65" s="1200">
        <v>139410</v>
      </c>
      <c r="BO65" s="1208" t="s">
        <v>1301</v>
      </c>
      <c r="BP65" s="1208" t="s">
        <v>1302</v>
      </c>
      <c r="BQ65" s="1200">
        <v>158370</v>
      </c>
      <c r="BR65" s="1200">
        <v>225630</v>
      </c>
      <c r="BS65" s="1200">
        <v>129000</v>
      </c>
      <c r="BT65" s="1200">
        <v>139410</v>
      </c>
      <c r="BU65" s="1213"/>
    </row>
    <row r="66" spans="15:73">
      <c r="O66" s="1212"/>
      <c r="P66" s="1208" t="s">
        <v>1303</v>
      </c>
      <c r="Q66" s="1208" t="s">
        <v>412</v>
      </c>
      <c r="R66" s="1200">
        <f t="shared" ref="R66:R73" si="45">AV66*1.03</f>
        <v>364671.5</v>
      </c>
      <c r="S66" s="1200">
        <f t="shared" si="41"/>
        <v>407385.60000000003</v>
      </c>
      <c r="T66" s="1200">
        <f t="shared" si="41"/>
        <v>294621.2</v>
      </c>
      <c r="U66" s="1200">
        <f t="shared" si="41"/>
        <v>318311.2</v>
      </c>
      <c r="W66" s="1208" t="s">
        <v>1303</v>
      </c>
      <c r="X66" s="1208" t="s">
        <v>412</v>
      </c>
      <c r="Y66" s="1200">
        <f t="shared" ref="Y66:Y73" si="46">BC66*1.03</f>
        <v>361396.10000000003</v>
      </c>
      <c r="Z66" s="1200">
        <f t="shared" si="42"/>
        <v>407385.60000000003</v>
      </c>
      <c r="AA66" s="1200">
        <f t="shared" si="42"/>
        <v>291963.8</v>
      </c>
      <c r="AB66" s="1200">
        <f t="shared" si="42"/>
        <v>315447.8</v>
      </c>
      <c r="AD66" s="1208" t="s">
        <v>1303</v>
      </c>
      <c r="AE66" s="1208" t="s">
        <v>412</v>
      </c>
      <c r="AF66" s="1200">
        <f t="shared" ref="AF66:AF73" si="47">BJ66*1.03</f>
        <v>305333.2</v>
      </c>
      <c r="AG66" s="1200">
        <f t="shared" si="43"/>
        <v>332484</v>
      </c>
      <c r="AH66" s="1200">
        <f t="shared" si="43"/>
        <v>242554.7</v>
      </c>
      <c r="AI66" s="1200">
        <f t="shared" si="43"/>
        <v>262042.30000000002</v>
      </c>
      <c r="AK66" s="1208" t="s">
        <v>1303</v>
      </c>
      <c r="AL66" s="1208" t="s">
        <v>412</v>
      </c>
      <c r="AM66" s="1200">
        <f t="shared" ref="AM66:AM73" si="48">BQ66*1.03</f>
        <v>302634.60000000003</v>
      </c>
      <c r="AN66" s="1200">
        <f t="shared" si="44"/>
        <v>332484</v>
      </c>
      <c r="AO66" s="1200">
        <f t="shared" si="44"/>
        <v>240412.30000000002</v>
      </c>
      <c r="AP66" s="1200">
        <f t="shared" si="44"/>
        <v>259724.80000000002</v>
      </c>
      <c r="AQ66" s="1213"/>
      <c r="AS66" s="1212"/>
      <c r="AT66" s="1208" t="s">
        <v>1303</v>
      </c>
      <c r="AU66" s="1208" t="s">
        <v>412</v>
      </c>
      <c r="AV66" s="1200">
        <v>354050</v>
      </c>
      <c r="AW66" s="1200">
        <v>395520</v>
      </c>
      <c r="AX66" s="1200">
        <v>286040</v>
      </c>
      <c r="AY66" s="1200">
        <v>309040</v>
      </c>
      <c r="BA66" s="1208" t="s">
        <v>1303</v>
      </c>
      <c r="BB66" s="1208" t="s">
        <v>412</v>
      </c>
      <c r="BC66" s="1200">
        <v>350870</v>
      </c>
      <c r="BD66" s="1200">
        <v>395520</v>
      </c>
      <c r="BE66" s="1200">
        <v>283460</v>
      </c>
      <c r="BF66" s="1200">
        <v>306260</v>
      </c>
      <c r="BH66" s="1208" t="s">
        <v>1303</v>
      </c>
      <c r="BI66" s="1208" t="s">
        <v>412</v>
      </c>
      <c r="BJ66" s="1200">
        <v>296440</v>
      </c>
      <c r="BK66" s="1200">
        <v>322800</v>
      </c>
      <c r="BL66" s="1200">
        <v>235490</v>
      </c>
      <c r="BM66" s="1200">
        <v>254410</v>
      </c>
      <c r="BO66" s="1208" t="s">
        <v>1303</v>
      </c>
      <c r="BP66" s="1208" t="s">
        <v>412</v>
      </c>
      <c r="BQ66" s="1200">
        <v>293820</v>
      </c>
      <c r="BR66" s="1200">
        <v>322800</v>
      </c>
      <c r="BS66" s="1200">
        <v>233410</v>
      </c>
      <c r="BT66" s="1200">
        <v>252160</v>
      </c>
      <c r="BU66" s="1213"/>
    </row>
    <row r="67" spans="15:73">
      <c r="O67" s="1212"/>
      <c r="P67" s="1854" t="s">
        <v>255</v>
      </c>
      <c r="Q67" s="1208" t="s">
        <v>413</v>
      </c>
      <c r="R67" s="1200">
        <f t="shared" si="45"/>
        <v>461821.10000000003</v>
      </c>
      <c r="S67" s="1200">
        <f t="shared" si="41"/>
        <v>648992.70000000007</v>
      </c>
      <c r="T67" s="1200">
        <f t="shared" si="41"/>
        <v>528534.20000000007</v>
      </c>
      <c r="U67" s="1200">
        <f t="shared" si="41"/>
        <v>571124.70000000007</v>
      </c>
      <c r="W67" s="1854" t="s">
        <v>255</v>
      </c>
      <c r="X67" s="1208" t="s">
        <v>413</v>
      </c>
      <c r="Y67" s="1200">
        <f t="shared" si="46"/>
        <v>457659.9</v>
      </c>
      <c r="Z67" s="1200">
        <f t="shared" si="42"/>
        <v>648992.70000000007</v>
      </c>
      <c r="AA67" s="1200">
        <f t="shared" si="42"/>
        <v>523775.60000000003</v>
      </c>
      <c r="AB67" s="1200">
        <f t="shared" si="42"/>
        <v>565985</v>
      </c>
      <c r="AD67" s="1854" t="s">
        <v>255</v>
      </c>
      <c r="AE67" s="1208" t="s">
        <v>413</v>
      </c>
      <c r="AF67" s="1200">
        <f t="shared" si="47"/>
        <v>386486.9</v>
      </c>
      <c r="AG67" s="1200">
        <f t="shared" si="43"/>
        <v>529440.6</v>
      </c>
      <c r="AH67" s="1200">
        <f t="shared" si="43"/>
        <v>434927.8</v>
      </c>
      <c r="AI67" s="1200">
        <f t="shared" si="43"/>
        <v>469978.7</v>
      </c>
      <c r="AK67" s="1854" t="s">
        <v>255</v>
      </c>
      <c r="AL67" s="1208" t="s">
        <v>413</v>
      </c>
      <c r="AM67" s="1200">
        <f t="shared" si="48"/>
        <v>383067.3</v>
      </c>
      <c r="AN67" s="1200">
        <f t="shared" si="44"/>
        <v>529440.6</v>
      </c>
      <c r="AO67" s="1200">
        <f t="shared" si="44"/>
        <v>431075.60000000003</v>
      </c>
      <c r="AP67" s="1200">
        <f t="shared" si="44"/>
        <v>465827.8</v>
      </c>
      <c r="AQ67" s="1213"/>
      <c r="AS67" s="1212"/>
      <c r="AT67" s="1854" t="s">
        <v>255</v>
      </c>
      <c r="AU67" s="1208" t="s">
        <v>413</v>
      </c>
      <c r="AV67" s="1200">
        <v>448370</v>
      </c>
      <c r="AW67" s="1200">
        <v>630090</v>
      </c>
      <c r="AX67" s="1200">
        <v>513140</v>
      </c>
      <c r="AY67" s="1200">
        <v>554490</v>
      </c>
      <c r="BA67" s="1854" t="s">
        <v>255</v>
      </c>
      <c r="BB67" s="1208" t="s">
        <v>413</v>
      </c>
      <c r="BC67" s="1200">
        <v>444330</v>
      </c>
      <c r="BD67" s="1200">
        <v>630090</v>
      </c>
      <c r="BE67" s="1200">
        <v>508520</v>
      </c>
      <c r="BF67" s="1200">
        <v>549500</v>
      </c>
      <c r="BH67" s="1854" t="s">
        <v>255</v>
      </c>
      <c r="BI67" s="1208" t="s">
        <v>413</v>
      </c>
      <c r="BJ67" s="1200">
        <v>375230</v>
      </c>
      <c r="BK67" s="1200">
        <v>514020</v>
      </c>
      <c r="BL67" s="1200">
        <v>422260</v>
      </c>
      <c r="BM67" s="1200">
        <v>456290</v>
      </c>
      <c r="BO67" s="1854" t="s">
        <v>255</v>
      </c>
      <c r="BP67" s="1208" t="s">
        <v>413</v>
      </c>
      <c r="BQ67" s="1200">
        <v>371910</v>
      </c>
      <c r="BR67" s="1200">
        <v>514020</v>
      </c>
      <c r="BS67" s="1200">
        <v>418520</v>
      </c>
      <c r="BT67" s="1200">
        <v>452260</v>
      </c>
      <c r="BU67" s="1213"/>
    </row>
    <row r="68" spans="15:73">
      <c r="O68" s="1212"/>
      <c r="P68" s="1856"/>
      <c r="Q68" s="1208" t="s">
        <v>414</v>
      </c>
      <c r="R68" s="1200">
        <f t="shared" si="45"/>
        <v>489332.4</v>
      </c>
      <c r="S68" s="1200">
        <f t="shared" si="41"/>
        <v>687566.20000000007</v>
      </c>
      <c r="T68" s="1200">
        <f t="shared" si="41"/>
        <v>559990.4</v>
      </c>
      <c r="U68" s="1200">
        <f t="shared" si="41"/>
        <v>605083.80000000005</v>
      </c>
      <c r="W68" s="1856"/>
      <c r="X68" s="1208" t="s">
        <v>414</v>
      </c>
      <c r="Y68" s="1200">
        <f t="shared" si="46"/>
        <v>484924</v>
      </c>
      <c r="Z68" s="1200">
        <f t="shared" si="42"/>
        <v>687566.20000000007</v>
      </c>
      <c r="AA68" s="1200">
        <f t="shared" si="42"/>
        <v>554933.1</v>
      </c>
      <c r="AB68" s="1200">
        <f t="shared" si="42"/>
        <v>599624.80000000005</v>
      </c>
      <c r="AD68" s="1856"/>
      <c r="AE68" s="1208" t="s">
        <v>414</v>
      </c>
      <c r="AF68" s="1200">
        <f t="shared" si="47"/>
        <v>409517.7</v>
      </c>
      <c r="AG68" s="1200">
        <f t="shared" si="43"/>
        <v>560927.70000000007</v>
      </c>
      <c r="AH68" s="1200">
        <f t="shared" si="43"/>
        <v>460791.10000000003</v>
      </c>
      <c r="AI68" s="1200">
        <f t="shared" si="43"/>
        <v>497943.2</v>
      </c>
      <c r="AK68" s="1856"/>
      <c r="AL68" s="1208" t="s">
        <v>414</v>
      </c>
      <c r="AM68" s="1200">
        <f t="shared" si="48"/>
        <v>405902.4</v>
      </c>
      <c r="AN68" s="1200">
        <f t="shared" si="44"/>
        <v>560927.70000000007</v>
      </c>
      <c r="AO68" s="1200">
        <f t="shared" si="44"/>
        <v>456712.3</v>
      </c>
      <c r="AP68" s="1200">
        <f t="shared" si="44"/>
        <v>493545.10000000003</v>
      </c>
      <c r="AQ68" s="1213"/>
      <c r="AS68" s="1212"/>
      <c r="AT68" s="1856"/>
      <c r="AU68" s="1208" t="s">
        <v>414</v>
      </c>
      <c r="AV68" s="1200">
        <v>475080</v>
      </c>
      <c r="AW68" s="1200">
        <v>667540</v>
      </c>
      <c r="AX68" s="1200">
        <v>543680</v>
      </c>
      <c r="AY68" s="1200">
        <v>587460</v>
      </c>
      <c r="BA68" s="1856"/>
      <c r="BB68" s="1208" t="s">
        <v>414</v>
      </c>
      <c r="BC68" s="1200">
        <v>470800</v>
      </c>
      <c r="BD68" s="1200">
        <v>667540</v>
      </c>
      <c r="BE68" s="1200">
        <v>538770</v>
      </c>
      <c r="BF68" s="1200">
        <v>582160</v>
      </c>
      <c r="BH68" s="1856"/>
      <c r="BI68" s="1208" t="s">
        <v>414</v>
      </c>
      <c r="BJ68" s="1200">
        <v>397590</v>
      </c>
      <c r="BK68" s="1200">
        <v>544590</v>
      </c>
      <c r="BL68" s="1200">
        <v>447370</v>
      </c>
      <c r="BM68" s="1200">
        <v>483440</v>
      </c>
      <c r="BO68" s="1856"/>
      <c r="BP68" s="1208" t="s">
        <v>414</v>
      </c>
      <c r="BQ68" s="1200">
        <v>394080</v>
      </c>
      <c r="BR68" s="1200">
        <v>544590</v>
      </c>
      <c r="BS68" s="1200">
        <v>443410</v>
      </c>
      <c r="BT68" s="1200">
        <v>479170</v>
      </c>
      <c r="BU68" s="1213"/>
    </row>
    <row r="69" spans="15:73">
      <c r="O69" s="1212"/>
      <c r="P69" s="1855"/>
      <c r="Q69" s="1208" t="s">
        <v>1304</v>
      </c>
      <c r="R69" s="1200">
        <f t="shared" si="45"/>
        <v>503093.2</v>
      </c>
      <c r="S69" s="1200">
        <f t="shared" si="41"/>
        <v>706992</v>
      </c>
      <c r="T69" s="1200">
        <f t="shared" si="41"/>
        <v>575770</v>
      </c>
      <c r="U69" s="1200">
        <f t="shared" si="41"/>
        <v>622120</v>
      </c>
      <c r="W69" s="1855"/>
      <c r="X69" s="1208" t="s">
        <v>1304</v>
      </c>
      <c r="Y69" s="1200">
        <f t="shared" si="46"/>
        <v>498550.9</v>
      </c>
      <c r="Z69" s="1200">
        <f t="shared" si="42"/>
        <v>706992</v>
      </c>
      <c r="AA69" s="1200">
        <f t="shared" si="42"/>
        <v>570578.80000000005</v>
      </c>
      <c r="AB69" s="1200">
        <f t="shared" si="42"/>
        <v>616506.5</v>
      </c>
      <c r="AD69" s="1855"/>
      <c r="AE69" s="1208" t="s">
        <v>1304</v>
      </c>
      <c r="AF69" s="1200">
        <f t="shared" si="47"/>
        <v>421033.10000000003</v>
      </c>
      <c r="AG69" s="1200">
        <f t="shared" si="43"/>
        <v>576758.80000000005</v>
      </c>
      <c r="AH69" s="1200">
        <f t="shared" si="43"/>
        <v>473779.4</v>
      </c>
      <c r="AI69" s="1200">
        <f t="shared" si="43"/>
        <v>511961.5</v>
      </c>
      <c r="AK69" s="1855"/>
      <c r="AL69" s="1208" t="s">
        <v>1304</v>
      </c>
      <c r="AM69" s="1200">
        <f t="shared" si="48"/>
        <v>417304.5</v>
      </c>
      <c r="AN69" s="1200">
        <f t="shared" si="44"/>
        <v>576758.80000000005</v>
      </c>
      <c r="AO69" s="1200">
        <f t="shared" si="44"/>
        <v>469587.3</v>
      </c>
      <c r="AP69" s="1200">
        <f t="shared" si="44"/>
        <v>507439.8</v>
      </c>
      <c r="AQ69" s="1213"/>
      <c r="AS69" s="1212"/>
      <c r="AT69" s="1855"/>
      <c r="AU69" s="1208" t="s">
        <v>1304</v>
      </c>
      <c r="AV69" s="1200">
        <v>488440</v>
      </c>
      <c r="AW69" s="1200">
        <v>686400</v>
      </c>
      <c r="AX69" s="1200">
        <v>559000</v>
      </c>
      <c r="AY69" s="1200">
        <v>604000</v>
      </c>
      <c r="BA69" s="1855"/>
      <c r="BB69" s="1208" t="s">
        <v>1304</v>
      </c>
      <c r="BC69" s="1200">
        <v>484030</v>
      </c>
      <c r="BD69" s="1200">
        <v>686400</v>
      </c>
      <c r="BE69" s="1200">
        <v>553960</v>
      </c>
      <c r="BF69" s="1200">
        <v>598550</v>
      </c>
      <c r="BH69" s="1855"/>
      <c r="BI69" s="1208" t="s">
        <v>1304</v>
      </c>
      <c r="BJ69" s="1200">
        <v>408770</v>
      </c>
      <c r="BK69" s="1200">
        <v>559960</v>
      </c>
      <c r="BL69" s="1200">
        <v>459980</v>
      </c>
      <c r="BM69" s="1200">
        <v>497050</v>
      </c>
      <c r="BO69" s="1855"/>
      <c r="BP69" s="1208" t="s">
        <v>1304</v>
      </c>
      <c r="BQ69" s="1200">
        <v>405150</v>
      </c>
      <c r="BR69" s="1200">
        <v>559960</v>
      </c>
      <c r="BS69" s="1200">
        <v>455910</v>
      </c>
      <c r="BT69" s="1200">
        <v>492660</v>
      </c>
      <c r="BU69" s="1213"/>
    </row>
    <row r="70" spans="15:73">
      <c r="O70" s="1212"/>
      <c r="P70" s="1854" t="s">
        <v>1467</v>
      </c>
      <c r="Q70" s="1208" t="s">
        <v>1305</v>
      </c>
      <c r="R70" s="1200">
        <f t="shared" si="45"/>
        <v>4882.2</v>
      </c>
      <c r="S70" s="1200">
        <f t="shared" si="41"/>
        <v>6581.7</v>
      </c>
      <c r="T70" s="1200">
        <f t="shared" si="41"/>
        <v>7828</v>
      </c>
      <c r="U70" s="1200">
        <f t="shared" si="41"/>
        <v>8466.6</v>
      </c>
      <c r="W70" s="1854" t="s">
        <v>1467</v>
      </c>
      <c r="X70" s="1208" t="s">
        <v>1305</v>
      </c>
      <c r="Y70" s="1200">
        <f t="shared" si="46"/>
        <v>4841</v>
      </c>
      <c r="Z70" s="1200">
        <f t="shared" si="42"/>
        <v>6581.7</v>
      </c>
      <c r="AA70" s="1200">
        <f t="shared" si="42"/>
        <v>7755.9000000000005</v>
      </c>
      <c r="AB70" s="1200">
        <f t="shared" si="42"/>
        <v>8394.5</v>
      </c>
      <c r="AD70" s="1854" t="s">
        <v>1467</v>
      </c>
      <c r="AE70" s="1208" t="s">
        <v>1305</v>
      </c>
      <c r="AF70" s="1200">
        <f t="shared" si="47"/>
        <v>4078.8</v>
      </c>
      <c r="AG70" s="1200">
        <f t="shared" si="43"/>
        <v>5376.6</v>
      </c>
      <c r="AH70" s="1200">
        <f t="shared" si="43"/>
        <v>6447.8</v>
      </c>
      <c r="AI70" s="1200">
        <f t="shared" si="43"/>
        <v>6973.1</v>
      </c>
      <c r="AK70" s="1854" t="s">
        <v>1467</v>
      </c>
      <c r="AL70" s="1208" t="s">
        <v>1305</v>
      </c>
      <c r="AM70" s="1200">
        <f t="shared" si="48"/>
        <v>4047.9</v>
      </c>
      <c r="AN70" s="1200">
        <f t="shared" si="44"/>
        <v>5376.6</v>
      </c>
      <c r="AO70" s="1200">
        <f t="shared" si="44"/>
        <v>6386</v>
      </c>
      <c r="AP70" s="1200">
        <f t="shared" si="44"/>
        <v>6911.3</v>
      </c>
      <c r="AQ70" s="1213"/>
      <c r="AS70" s="1212"/>
      <c r="AT70" s="1854" t="s">
        <v>1467</v>
      </c>
      <c r="AU70" s="1208" t="s">
        <v>1305</v>
      </c>
      <c r="AV70" s="1200">
        <v>4740</v>
      </c>
      <c r="AW70" s="1200">
        <v>6390</v>
      </c>
      <c r="AX70" s="1200">
        <v>7600</v>
      </c>
      <c r="AY70" s="1200">
        <v>8220</v>
      </c>
      <c r="BA70" s="1854" t="s">
        <v>1467</v>
      </c>
      <c r="BB70" s="1208" t="s">
        <v>1305</v>
      </c>
      <c r="BC70" s="1200">
        <v>4700</v>
      </c>
      <c r="BD70" s="1200">
        <v>6390</v>
      </c>
      <c r="BE70" s="1200">
        <v>7530</v>
      </c>
      <c r="BF70" s="1200">
        <v>8150</v>
      </c>
      <c r="BH70" s="1854" t="s">
        <v>1467</v>
      </c>
      <c r="BI70" s="1208" t="s">
        <v>1305</v>
      </c>
      <c r="BJ70" s="1200">
        <v>3960</v>
      </c>
      <c r="BK70" s="1200">
        <v>5220</v>
      </c>
      <c r="BL70" s="1200">
        <v>6260</v>
      </c>
      <c r="BM70" s="1200">
        <v>6770</v>
      </c>
      <c r="BO70" s="1854" t="s">
        <v>1467</v>
      </c>
      <c r="BP70" s="1208" t="s">
        <v>1305</v>
      </c>
      <c r="BQ70" s="1200">
        <v>3930</v>
      </c>
      <c r="BR70" s="1200">
        <v>5220</v>
      </c>
      <c r="BS70" s="1200">
        <v>6200</v>
      </c>
      <c r="BT70" s="1200">
        <v>6710</v>
      </c>
      <c r="BU70" s="1213"/>
    </row>
    <row r="71" spans="15:73">
      <c r="O71" s="1212"/>
      <c r="P71" s="1856"/>
      <c r="Q71" s="1208" t="s">
        <v>1306</v>
      </c>
      <c r="R71" s="1200">
        <f t="shared" si="45"/>
        <v>7045.2</v>
      </c>
      <c r="S71" s="1200">
        <f t="shared" si="41"/>
        <v>9558.4</v>
      </c>
      <c r="T71" s="1200">
        <f t="shared" si="41"/>
        <v>11299.1</v>
      </c>
      <c r="U71" s="1200">
        <f t="shared" si="41"/>
        <v>12195.2</v>
      </c>
      <c r="W71" s="1856"/>
      <c r="X71" s="1208" t="s">
        <v>1306</v>
      </c>
      <c r="Y71" s="1200">
        <f t="shared" si="46"/>
        <v>6973.1</v>
      </c>
      <c r="Z71" s="1200">
        <f t="shared" si="42"/>
        <v>9558.4</v>
      </c>
      <c r="AA71" s="1200">
        <f t="shared" si="42"/>
        <v>11196.1</v>
      </c>
      <c r="AB71" s="1200">
        <f t="shared" si="42"/>
        <v>12081.9</v>
      </c>
      <c r="AD71" s="1856"/>
      <c r="AE71" s="1208" t="s">
        <v>1306</v>
      </c>
      <c r="AF71" s="1200">
        <f t="shared" si="47"/>
        <v>5891.6</v>
      </c>
      <c r="AG71" s="1200">
        <f t="shared" si="43"/>
        <v>7797.1</v>
      </c>
      <c r="AH71" s="1200">
        <f t="shared" si="43"/>
        <v>9290.6</v>
      </c>
      <c r="AI71" s="1200">
        <f t="shared" si="43"/>
        <v>10042.5</v>
      </c>
      <c r="AK71" s="1856"/>
      <c r="AL71" s="1208" t="s">
        <v>1306</v>
      </c>
      <c r="AM71" s="1200">
        <f t="shared" si="48"/>
        <v>5840.1</v>
      </c>
      <c r="AN71" s="1200">
        <f t="shared" si="44"/>
        <v>7797.1</v>
      </c>
      <c r="AO71" s="1200">
        <f t="shared" si="44"/>
        <v>9208.2000000000007</v>
      </c>
      <c r="AP71" s="1200">
        <f t="shared" si="44"/>
        <v>9960.1</v>
      </c>
      <c r="AQ71" s="1213"/>
      <c r="AS71" s="1212"/>
      <c r="AT71" s="1856"/>
      <c r="AU71" s="1208" t="s">
        <v>1306</v>
      </c>
      <c r="AV71" s="1200">
        <v>6840</v>
      </c>
      <c r="AW71" s="1200">
        <v>9280</v>
      </c>
      <c r="AX71" s="1200">
        <v>10970</v>
      </c>
      <c r="AY71" s="1200">
        <v>11840</v>
      </c>
      <c r="BA71" s="1856"/>
      <c r="BB71" s="1208" t="s">
        <v>1306</v>
      </c>
      <c r="BC71" s="1200">
        <v>6770</v>
      </c>
      <c r="BD71" s="1200">
        <v>9280</v>
      </c>
      <c r="BE71" s="1200">
        <v>10870</v>
      </c>
      <c r="BF71" s="1200">
        <v>11730</v>
      </c>
      <c r="BH71" s="1856"/>
      <c r="BI71" s="1208" t="s">
        <v>1306</v>
      </c>
      <c r="BJ71" s="1200">
        <v>5720</v>
      </c>
      <c r="BK71" s="1200">
        <v>7570</v>
      </c>
      <c r="BL71" s="1200">
        <v>9020</v>
      </c>
      <c r="BM71" s="1200">
        <v>9750</v>
      </c>
      <c r="BO71" s="1856"/>
      <c r="BP71" s="1208" t="s">
        <v>1306</v>
      </c>
      <c r="BQ71" s="1200">
        <v>5670</v>
      </c>
      <c r="BR71" s="1200">
        <v>7570</v>
      </c>
      <c r="BS71" s="1200">
        <v>8940</v>
      </c>
      <c r="BT71" s="1200">
        <v>9670</v>
      </c>
      <c r="BU71" s="1213"/>
    </row>
    <row r="72" spans="15:73">
      <c r="O72" s="1212"/>
      <c r="P72" s="1855"/>
      <c r="Q72" s="1208" t="s">
        <v>413</v>
      </c>
      <c r="R72" s="1200">
        <f t="shared" si="45"/>
        <v>13039.800000000001</v>
      </c>
      <c r="S72" s="1200">
        <f t="shared" si="41"/>
        <v>17654.2</v>
      </c>
      <c r="T72" s="1200">
        <f t="shared" si="41"/>
        <v>20888.400000000001</v>
      </c>
      <c r="U72" s="1200">
        <f t="shared" si="41"/>
        <v>22567.3</v>
      </c>
      <c r="W72" s="1855"/>
      <c r="X72" s="1208" t="s">
        <v>413</v>
      </c>
      <c r="Y72" s="1200">
        <f t="shared" si="46"/>
        <v>12926.5</v>
      </c>
      <c r="Z72" s="1200">
        <f t="shared" si="42"/>
        <v>17654.2</v>
      </c>
      <c r="AA72" s="1200">
        <f t="shared" si="42"/>
        <v>20703</v>
      </c>
      <c r="AB72" s="1200">
        <f t="shared" si="42"/>
        <v>22361.3</v>
      </c>
      <c r="AD72" s="1855"/>
      <c r="AE72" s="1208" t="s">
        <v>413</v>
      </c>
      <c r="AF72" s="1200">
        <f t="shared" si="47"/>
        <v>10918</v>
      </c>
      <c r="AG72" s="1200">
        <f t="shared" si="43"/>
        <v>14409.7</v>
      </c>
      <c r="AH72" s="1200">
        <f t="shared" si="43"/>
        <v>17211.3</v>
      </c>
      <c r="AI72" s="1200">
        <f t="shared" si="43"/>
        <v>18581.2</v>
      </c>
      <c r="AK72" s="1855"/>
      <c r="AL72" s="1208" t="s">
        <v>413</v>
      </c>
      <c r="AM72" s="1200">
        <f t="shared" si="48"/>
        <v>10815</v>
      </c>
      <c r="AN72" s="1200">
        <f t="shared" si="44"/>
        <v>14409.7</v>
      </c>
      <c r="AO72" s="1200">
        <f t="shared" si="44"/>
        <v>17056.8</v>
      </c>
      <c r="AP72" s="1200">
        <f t="shared" si="44"/>
        <v>18416.400000000001</v>
      </c>
      <c r="AQ72" s="1213"/>
      <c r="AS72" s="1212"/>
      <c r="AT72" s="1855"/>
      <c r="AU72" s="1208" t="s">
        <v>413</v>
      </c>
      <c r="AV72" s="1200">
        <v>12660</v>
      </c>
      <c r="AW72" s="1200">
        <v>17140</v>
      </c>
      <c r="AX72" s="1200">
        <v>20280</v>
      </c>
      <c r="AY72" s="1200">
        <v>21910</v>
      </c>
      <c r="BA72" s="1855"/>
      <c r="BB72" s="1208" t="s">
        <v>413</v>
      </c>
      <c r="BC72" s="1200">
        <v>12550</v>
      </c>
      <c r="BD72" s="1200">
        <v>17140</v>
      </c>
      <c r="BE72" s="1200">
        <v>20100</v>
      </c>
      <c r="BF72" s="1200">
        <v>21710</v>
      </c>
      <c r="BH72" s="1855"/>
      <c r="BI72" s="1208" t="s">
        <v>413</v>
      </c>
      <c r="BJ72" s="1200">
        <v>10600</v>
      </c>
      <c r="BK72" s="1200">
        <v>13990</v>
      </c>
      <c r="BL72" s="1200">
        <v>16710</v>
      </c>
      <c r="BM72" s="1200">
        <v>18040</v>
      </c>
      <c r="BO72" s="1855"/>
      <c r="BP72" s="1208" t="s">
        <v>413</v>
      </c>
      <c r="BQ72" s="1200">
        <v>10500</v>
      </c>
      <c r="BR72" s="1200">
        <v>13990</v>
      </c>
      <c r="BS72" s="1200">
        <v>16560</v>
      </c>
      <c r="BT72" s="1200">
        <v>17880</v>
      </c>
      <c r="BU72" s="1213"/>
    </row>
    <row r="73" spans="15:73">
      <c r="O73" s="1212"/>
      <c r="P73" s="1208" t="s">
        <v>416</v>
      </c>
      <c r="Q73" s="1208" t="s">
        <v>414</v>
      </c>
      <c r="R73" s="1200">
        <f t="shared" si="45"/>
        <v>2739.8</v>
      </c>
      <c r="S73" s="1200">
        <f t="shared" si="41"/>
        <v>1617.1000000000001</v>
      </c>
      <c r="T73" s="1200">
        <f t="shared" si="41"/>
        <v>3059.1</v>
      </c>
      <c r="U73" s="1200">
        <f t="shared" si="41"/>
        <v>3296</v>
      </c>
      <c r="W73" s="1208" t="s">
        <v>416</v>
      </c>
      <c r="X73" s="1208" t="s">
        <v>414</v>
      </c>
      <c r="Y73" s="1200">
        <f t="shared" si="46"/>
        <v>2719.2000000000003</v>
      </c>
      <c r="Z73" s="1200">
        <f t="shared" si="42"/>
        <v>1617.1000000000001</v>
      </c>
      <c r="AA73" s="1200">
        <f t="shared" si="42"/>
        <v>3028.2000000000003</v>
      </c>
      <c r="AB73" s="1200">
        <f t="shared" si="42"/>
        <v>3265.1</v>
      </c>
      <c r="AD73" s="1208" t="s">
        <v>416</v>
      </c>
      <c r="AE73" s="1208" t="s">
        <v>414</v>
      </c>
      <c r="AF73" s="1200">
        <f t="shared" si="47"/>
        <v>2760.4</v>
      </c>
      <c r="AG73" s="1200">
        <f t="shared" si="43"/>
        <v>1617.1000000000001</v>
      </c>
      <c r="AH73" s="1200">
        <f t="shared" si="43"/>
        <v>3079.7000000000003</v>
      </c>
      <c r="AI73" s="1200">
        <f t="shared" si="43"/>
        <v>3326.9</v>
      </c>
      <c r="AK73" s="1208" t="s">
        <v>416</v>
      </c>
      <c r="AL73" s="1208" t="s">
        <v>414</v>
      </c>
      <c r="AM73" s="1200">
        <f t="shared" si="48"/>
        <v>2739.8</v>
      </c>
      <c r="AN73" s="1200">
        <f t="shared" si="44"/>
        <v>1617.1000000000001</v>
      </c>
      <c r="AO73" s="1200">
        <f t="shared" si="44"/>
        <v>3059.1</v>
      </c>
      <c r="AP73" s="1200">
        <f t="shared" si="44"/>
        <v>3296</v>
      </c>
      <c r="AQ73" s="1213"/>
      <c r="AS73" s="1212"/>
      <c r="AT73" s="1208" t="s">
        <v>416</v>
      </c>
      <c r="AU73" s="1208" t="s">
        <v>414</v>
      </c>
      <c r="AV73" s="1201">
        <v>2660</v>
      </c>
      <c r="AW73" s="1201">
        <v>1570</v>
      </c>
      <c r="AX73" s="1201">
        <v>2970</v>
      </c>
      <c r="AY73" s="1201">
        <v>3200</v>
      </c>
      <c r="BA73" s="1208" t="s">
        <v>416</v>
      </c>
      <c r="BB73" s="1208" t="s">
        <v>414</v>
      </c>
      <c r="BC73" s="1201">
        <v>2640</v>
      </c>
      <c r="BD73" s="1201">
        <v>1570</v>
      </c>
      <c r="BE73" s="1201">
        <v>2940</v>
      </c>
      <c r="BF73" s="1201">
        <v>3170</v>
      </c>
      <c r="BH73" s="1208" t="s">
        <v>416</v>
      </c>
      <c r="BI73" s="1208" t="s">
        <v>414</v>
      </c>
      <c r="BJ73" s="1201">
        <v>2680</v>
      </c>
      <c r="BK73" s="1201">
        <v>1570</v>
      </c>
      <c r="BL73" s="1201">
        <v>2990</v>
      </c>
      <c r="BM73" s="1201">
        <v>3230</v>
      </c>
      <c r="BO73" s="1208" t="s">
        <v>416</v>
      </c>
      <c r="BP73" s="1208" t="s">
        <v>414</v>
      </c>
      <c r="BQ73" s="1201">
        <v>2660</v>
      </c>
      <c r="BR73" s="1201">
        <v>1570</v>
      </c>
      <c r="BS73" s="1201">
        <v>2970</v>
      </c>
      <c r="BT73" s="1201">
        <v>3200</v>
      </c>
      <c r="BU73" s="1213"/>
    </row>
    <row r="74" spans="15:73">
      <c r="O74" s="1212"/>
      <c r="P74" s="1208" t="s">
        <v>415</v>
      </c>
      <c r="Q74" s="1208" t="s">
        <v>1307</v>
      </c>
      <c r="R74" s="1201">
        <v>13050</v>
      </c>
      <c r="S74" s="1201">
        <v>13050</v>
      </c>
      <c r="T74" s="1201">
        <v>13050</v>
      </c>
      <c r="U74" s="1201">
        <v>13050</v>
      </c>
      <c r="W74" s="1208" t="s">
        <v>415</v>
      </c>
      <c r="X74" s="1208" t="s">
        <v>1307</v>
      </c>
      <c r="Y74" s="1201">
        <v>13050</v>
      </c>
      <c r="Z74" s="1201">
        <v>13050</v>
      </c>
      <c r="AA74" s="1201">
        <v>13050</v>
      </c>
      <c r="AB74" s="1201">
        <v>13050</v>
      </c>
      <c r="AD74" s="1208" t="s">
        <v>415</v>
      </c>
      <c r="AE74" s="1208" t="s">
        <v>1307</v>
      </c>
      <c r="AF74" s="1201">
        <v>13050</v>
      </c>
      <c r="AG74" s="1201">
        <v>13050</v>
      </c>
      <c r="AH74" s="1201">
        <v>13050</v>
      </c>
      <c r="AI74" s="1201">
        <v>13050</v>
      </c>
      <c r="AK74" s="1208" t="s">
        <v>415</v>
      </c>
      <c r="AL74" s="1208" t="s">
        <v>1307</v>
      </c>
      <c r="AM74" s="1201">
        <v>13050</v>
      </c>
      <c r="AN74" s="1201">
        <v>13050</v>
      </c>
      <c r="AO74" s="1201">
        <v>13050</v>
      </c>
      <c r="AP74" s="1201">
        <v>13050</v>
      </c>
      <c r="AQ74" s="1213"/>
      <c r="AS74" s="1212"/>
      <c r="AT74" s="1208" t="s">
        <v>415</v>
      </c>
      <c r="AU74" s="1208" t="s">
        <v>1307</v>
      </c>
      <c r="AV74" s="1201">
        <v>13050</v>
      </c>
      <c r="AW74" s="1201">
        <v>13050</v>
      </c>
      <c r="AX74" s="1201">
        <v>13050</v>
      </c>
      <c r="AY74" s="1201">
        <v>13050</v>
      </c>
      <c r="BA74" s="1208" t="s">
        <v>415</v>
      </c>
      <c r="BB74" s="1208" t="s">
        <v>1307</v>
      </c>
      <c r="BC74" s="1201">
        <v>13050</v>
      </c>
      <c r="BD74" s="1201">
        <v>13050</v>
      </c>
      <c r="BE74" s="1201">
        <v>13050</v>
      </c>
      <c r="BF74" s="1201">
        <v>13050</v>
      </c>
      <c r="BH74" s="1208" t="s">
        <v>415</v>
      </c>
      <c r="BI74" s="1208" t="s">
        <v>1307</v>
      </c>
      <c r="BJ74" s="1201">
        <v>13050</v>
      </c>
      <c r="BK74" s="1201">
        <v>13050</v>
      </c>
      <c r="BL74" s="1201">
        <v>13050</v>
      </c>
      <c r="BM74" s="1201">
        <v>13050</v>
      </c>
      <c r="BO74" s="1208" t="s">
        <v>415</v>
      </c>
      <c r="BP74" s="1208" t="s">
        <v>1307</v>
      </c>
      <c r="BQ74" s="1201">
        <v>13050</v>
      </c>
      <c r="BR74" s="1201">
        <v>13050</v>
      </c>
      <c r="BS74" s="1201">
        <v>13050</v>
      </c>
      <c r="BT74" s="1201">
        <v>13050</v>
      </c>
      <c r="BU74" s="1213"/>
    </row>
    <row r="75" spans="15:73">
      <c r="O75" s="1212"/>
      <c r="P75" s="1857" t="s">
        <v>408</v>
      </c>
      <c r="Q75" s="1854" t="s">
        <v>1308</v>
      </c>
      <c r="R75" s="1204">
        <v>171800</v>
      </c>
      <c r="S75" s="1204">
        <v>328110</v>
      </c>
      <c r="T75" s="1204">
        <v>181940</v>
      </c>
      <c r="U75" s="1204">
        <v>196220</v>
      </c>
      <c r="W75" s="1857" t="s">
        <v>408</v>
      </c>
      <c r="X75" s="1854" t="s">
        <v>1308</v>
      </c>
      <c r="Y75" s="1204">
        <v>170260</v>
      </c>
      <c r="Z75" s="1204">
        <v>328110</v>
      </c>
      <c r="AA75" s="1204">
        <v>180300</v>
      </c>
      <c r="AB75" s="1204">
        <v>194450</v>
      </c>
      <c r="AD75" s="1857" t="s">
        <v>408</v>
      </c>
      <c r="AE75" s="1854" t="s">
        <v>1308</v>
      </c>
      <c r="AF75" s="1204">
        <v>143910</v>
      </c>
      <c r="AG75" s="1204">
        <v>267580</v>
      </c>
      <c r="AH75" s="1204">
        <v>149800</v>
      </c>
      <c r="AI75" s="1204">
        <v>161420</v>
      </c>
      <c r="AK75" s="1857" t="s">
        <v>408</v>
      </c>
      <c r="AL75" s="1854" t="s">
        <v>1308</v>
      </c>
      <c r="AM75" s="1204">
        <v>142640</v>
      </c>
      <c r="AN75" s="1204">
        <v>267580</v>
      </c>
      <c r="AO75" s="1204">
        <v>136240</v>
      </c>
      <c r="AP75" s="1204">
        <v>160000</v>
      </c>
      <c r="AQ75" s="1213"/>
      <c r="AS75" s="1212"/>
      <c r="AT75" s="1857" t="s">
        <v>408</v>
      </c>
      <c r="AU75" s="1854" t="s">
        <v>1308</v>
      </c>
      <c r="AV75" s="1204">
        <v>171800</v>
      </c>
      <c r="AW75" s="1204">
        <v>328110</v>
      </c>
      <c r="AX75" s="1204">
        <v>181940</v>
      </c>
      <c r="AY75" s="1204">
        <v>196220</v>
      </c>
      <c r="BA75" s="1857" t="s">
        <v>408</v>
      </c>
      <c r="BB75" s="1854" t="s">
        <v>1308</v>
      </c>
      <c r="BC75" s="1204">
        <v>170260</v>
      </c>
      <c r="BD75" s="1204">
        <v>328110</v>
      </c>
      <c r="BE75" s="1204">
        <v>180300</v>
      </c>
      <c r="BF75" s="1204">
        <v>194450</v>
      </c>
      <c r="BH75" s="1857" t="s">
        <v>408</v>
      </c>
      <c r="BI75" s="1854" t="s">
        <v>1308</v>
      </c>
      <c r="BJ75" s="1204">
        <v>143910</v>
      </c>
      <c r="BK75" s="1204">
        <v>267580</v>
      </c>
      <c r="BL75" s="1204">
        <v>149800</v>
      </c>
      <c r="BM75" s="1204">
        <v>161420</v>
      </c>
      <c r="BO75" s="1857" t="s">
        <v>408</v>
      </c>
      <c r="BP75" s="1854" t="s">
        <v>1308</v>
      </c>
      <c r="BQ75" s="1204">
        <v>142640</v>
      </c>
      <c r="BR75" s="1204">
        <v>267580</v>
      </c>
      <c r="BS75" s="1204">
        <v>136240</v>
      </c>
      <c r="BT75" s="1204">
        <v>160000</v>
      </c>
      <c r="BU75" s="1213"/>
    </row>
    <row r="76" spans="15:73">
      <c r="O76" s="1212"/>
      <c r="P76" s="1858"/>
      <c r="Q76" s="1855"/>
      <c r="R76" s="1205">
        <f>R75/100000</f>
        <v>1.718</v>
      </c>
      <c r="S76" s="1205">
        <f t="shared" ref="S76:U76" si="49">S75/100000</f>
        <v>3.2810999999999999</v>
      </c>
      <c r="T76" s="1205">
        <f t="shared" si="49"/>
        <v>1.8193999999999999</v>
      </c>
      <c r="U76" s="1205">
        <f t="shared" si="49"/>
        <v>1.9621999999999999</v>
      </c>
      <c r="W76" s="1858"/>
      <c r="X76" s="1855"/>
      <c r="Y76" s="1205">
        <f>Y75/100000</f>
        <v>1.7025999999999999</v>
      </c>
      <c r="Z76" s="1205">
        <f t="shared" ref="Z76:AB76" si="50">Z75/100000</f>
        <v>3.2810999999999999</v>
      </c>
      <c r="AA76" s="1205">
        <f t="shared" si="50"/>
        <v>1.8029999999999999</v>
      </c>
      <c r="AB76" s="1205">
        <f t="shared" si="50"/>
        <v>1.9444999999999999</v>
      </c>
      <c r="AD76" s="1858"/>
      <c r="AE76" s="1855"/>
      <c r="AF76" s="1205">
        <f>AF75/100000</f>
        <v>1.4391</v>
      </c>
      <c r="AG76" s="1205">
        <f t="shared" ref="AG76:AI76" si="51">AG75/100000</f>
        <v>2.6758000000000002</v>
      </c>
      <c r="AH76" s="1205">
        <f t="shared" si="51"/>
        <v>1.498</v>
      </c>
      <c r="AI76" s="1205">
        <f t="shared" si="51"/>
        <v>1.6142000000000001</v>
      </c>
      <c r="AK76" s="1858"/>
      <c r="AL76" s="1855"/>
      <c r="AM76" s="1205">
        <f>AM75/100000</f>
        <v>1.4263999999999999</v>
      </c>
      <c r="AN76" s="1205">
        <f t="shared" ref="AN76:AP76" si="52">AN75/100000</f>
        <v>2.6758000000000002</v>
      </c>
      <c r="AO76" s="1205">
        <f t="shared" si="52"/>
        <v>1.3624000000000001</v>
      </c>
      <c r="AP76" s="1205">
        <f t="shared" si="52"/>
        <v>1.6</v>
      </c>
      <c r="AQ76" s="1213"/>
      <c r="AS76" s="1212"/>
      <c r="AT76" s="1858"/>
      <c r="AU76" s="1855"/>
      <c r="AV76" s="1205">
        <f>AV75/100000</f>
        <v>1.718</v>
      </c>
      <c r="AW76" s="1205">
        <f t="shared" ref="AW76:AY76" si="53">AW75/100000</f>
        <v>3.2810999999999999</v>
      </c>
      <c r="AX76" s="1205">
        <f t="shared" si="53"/>
        <v>1.8193999999999999</v>
      </c>
      <c r="AY76" s="1205">
        <f t="shared" si="53"/>
        <v>1.9621999999999999</v>
      </c>
      <c r="BA76" s="1858"/>
      <c r="BB76" s="1855"/>
      <c r="BC76" s="1205">
        <f>BC75/100000</f>
        <v>1.7025999999999999</v>
      </c>
      <c r="BD76" s="1205">
        <f t="shared" ref="BD76:BF76" si="54">BD75/100000</f>
        <v>3.2810999999999999</v>
      </c>
      <c r="BE76" s="1205">
        <f t="shared" si="54"/>
        <v>1.8029999999999999</v>
      </c>
      <c r="BF76" s="1205">
        <f t="shared" si="54"/>
        <v>1.9444999999999999</v>
      </c>
      <c r="BH76" s="1858"/>
      <c r="BI76" s="1855"/>
      <c r="BJ76" s="1205">
        <f>BJ75/100000</f>
        <v>1.4391</v>
      </c>
      <c r="BK76" s="1205">
        <f t="shared" ref="BK76:BM76" si="55">BK75/100000</f>
        <v>2.6758000000000002</v>
      </c>
      <c r="BL76" s="1205">
        <f t="shared" si="55"/>
        <v>1.498</v>
      </c>
      <c r="BM76" s="1205">
        <f t="shared" si="55"/>
        <v>1.6142000000000001</v>
      </c>
      <c r="BO76" s="1858"/>
      <c r="BP76" s="1855"/>
      <c r="BQ76" s="1205">
        <f>BQ75/100000</f>
        <v>1.4263999999999999</v>
      </c>
      <c r="BR76" s="1205">
        <f t="shared" ref="BR76:BT76" si="56">BR75/100000</f>
        <v>2.6758000000000002</v>
      </c>
      <c r="BS76" s="1205">
        <f t="shared" si="56"/>
        <v>1.3624000000000001</v>
      </c>
      <c r="BT76" s="1205">
        <f t="shared" si="56"/>
        <v>1.6</v>
      </c>
      <c r="BU76" s="1213"/>
    </row>
    <row r="77" spans="15:73">
      <c r="O77" s="1212"/>
      <c r="P77" s="1216"/>
      <c r="R77" s="1217">
        <f>R65+R66+R68+R72+R73</f>
        <v>1066420.8000000003</v>
      </c>
      <c r="S77" s="1217">
        <f>S65+S66+S68+S72+S73</f>
        <v>1399090.2000000002</v>
      </c>
      <c r="T77" s="1217">
        <f>T65+T66+T68+T72+T73</f>
        <v>1041453.6000000001</v>
      </c>
      <c r="U77" s="1217">
        <f>U65+U66+U68+U72+U73</f>
        <v>1125275.0000000002</v>
      </c>
      <c r="Y77" s="1217">
        <f>Y65+Y66+Y68+Y72+Y73</f>
        <v>1058603.0999999999</v>
      </c>
      <c r="Z77" s="1217">
        <f>Z65+Z66+Z68+Z72+Z73</f>
        <v>1399090.2000000002</v>
      </c>
      <c r="AA77" s="1217">
        <f>AA65+AA66+AA68+AA72+AA73</f>
        <v>1033512.2999999999</v>
      </c>
      <c r="AB77" s="1217">
        <f>AB65+AB66+AB68+AB72+AB73</f>
        <v>1116705.4000000001</v>
      </c>
      <c r="AF77" s="1217">
        <f>AF65+AF66+AF68+AF72+AF73</f>
        <v>891650.4</v>
      </c>
      <c r="AG77" s="1217">
        <f>AG65+AG66+AG68+AG72+AG73</f>
        <v>1141837.4000000001</v>
      </c>
      <c r="AH77" s="1217">
        <f>AH65+AH66+AH68+AH72+AH73</f>
        <v>856506.8</v>
      </c>
      <c r="AI77" s="1217">
        <f>AI65+AI66+AI68+AI72+AI73</f>
        <v>925485.9</v>
      </c>
      <c r="AM77" s="1217">
        <f>AM65+AM66+AM68+AM72+AM73</f>
        <v>885212.90000000014</v>
      </c>
      <c r="AN77" s="1217">
        <f>AN65+AN66+AN68+AN72+AN73</f>
        <v>1141837.4000000001</v>
      </c>
      <c r="AO77" s="1217">
        <f>AO65+AO66+AO68+AO72+AO73</f>
        <v>850110.50000000012</v>
      </c>
      <c r="AP77" s="1217">
        <f>AP65+AP66+AP68+AP72+AP73</f>
        <v>918574.60000000009</v>
      </c>
      <c r="AQ77" s="1213"/>
      <c r="AS77" s="1212"/>
      <c r="AT77" s="1216"/>
      <c r="AV77" s="1217">
        <f>AV65+AV66+AV68+AV72+AV73</f>
        <v>1035360</v>
      </c>
      <c r="AW77" s="1217">
        <f>AW65+AW66+AW68+AW72+AW73</f>
        <v>1358340</v>
      </c>
      <c r="AX77" s="1217">
        <f>AX65+AX66+AX68+AX72+AX73</f>
        <v>1011120</v>
      </c>
      <c r="AY77" s="1217">
        <f>AY65+AY66+AY68+AY72+AY73</f>
        <v>1092500</v>
      </c>
      <c r="BC77" s="1217">
        <f>BC65+BC66+BC68+BC72+BC73</f>
        <v>1027770</v>
      </c>
      <c r="BD77" s="1217">
        <f>BD65+BD66+BD68+BD72+BD73</f>
        <v>1358340</v>
      </c>
      <c r="BE77" s="1217">
        <f>BE65+BE66+BE68+BE72+BE73</f>
        <v>1003410</v>
      </c>
      <c r="BF77" s="1217">
        <f>BF65+BF66+BF68+BF72+BF73</f>
        <v>1084180</v>
      </c>
      <c r="BJ77" s="1217">
        <f>BJ65+BJ66+BJ68+BJ72+BJ73</f>
        <v>865680</v>
      </c>
      <c r="BK77" s="1217">
        <f>BK65+BK66+BK68+BK72+BK73</f>
        <v>1108580</v>
      </c>
      <c r="BL77" s="1217">
        <f>BL65+BL66+BL68+BL72+BL73</f>
        <v>831560</v>
      </c>
      <c r="BM77" s="1217">
        <f>BM65+BM66+BM68+BM72+BM73</f>
        <v>898530</v>
      </c>
      <c r="BQ77" s="1217">
        <f>BQ65+BQ66+BQ68+BQ72+BQ73</f>
        <v>859430</v>
      </c>
      <c r="BR77" s="1217">
        <f>BR65+BR66+BR68+BR72+BR73</f>
        <v>1108580</v>
      </c>
      <c r="BS77" s="1217">
        <f>BS65+BS66+BS68+BS72+BS73</f>
        <v>825350</v>
      </c>
      <c r="BT77" s="1217">
        <f>BT65+BT66+BT68+BT72+BT73</f>
        <v>891820</v>
      </c>
      <c r="BU77" s="1213"/>
    </row>
    <row r="78" spans="15:73" ht="12" thickBot="1">
      <c r="O78" s="1218"/>
      <c r="P78" s="1219"/>
      <c r="Q78" s="1219"/>
      <c r="R78" s="1219"/>
      <c r="S78" s="1219"/>
      <c r="T78" s="1219"/>
      <c r="U78" s="1219"/>
      <c r="V78" s="1219"/>
      <c r="W78" s="1219"/>
      <c r="X78" s="1219"/>
      <c r="Y78" s="1235"/>
      <c r="Z78" s="1235"/>
      <c r="AA78" s="1235"/>
      <c r="AB78" s="1235"/>
      <c r="AC78" s="1219"/>
      <c r="AD78" s="1219"/>
      <c r="AE78" s="1219"/>
      <c r="AF78" s="1219"/>
      <c r="AG78" s="1219"/>
      <c r="AH78" s="1219"/>
      <c r="AI78" s="1219"/>
      <c r="AJ78" s="1219"/>
      <c r="AK78" s="1219"/>
      <c r="AL78" s="1219"/>
      <c r="AM78" s="1234"/>
      <c r="AN78" s="1219"/>
      <c r="AO78" s="1219"/>
      <c r="AP78" s="1219"/>
      <c r="AQ78" s="1220"/>
      <c r="AS78" s="1218"/>
      <c r="AT78" s="1219"/>
      <c r="AU78" s="1219"/>
      <c r="AV78" s="1219"/>
      <c r="AW78" s="1219"/>
      <c r="AX78" s="1219"/>
      <c r="AY78" s="1219"/>
      <c r="AZ78" s="1219"/>
      <c r="BA78" s="1219"/>
      <c r="BB78" s="1219"/>
      <c r="BC78" s="1235"/>
      <c r="BD78" s="1235"/>
      <c r="BE78" s="1235"/>
      <c r="BF78" s="1235"/>
      <c r="BG78" s="1219"/>
      <c r="BH78" s="1219"/>
      <c r="BI78" s="1219"/>
      <c r="BJ78" s="1219"/>
      <c r="BK78" s="1219"/>
      <c r="BL78" s="1219"/>
      <c r="BM78" s="1219"/>
      <c r="BN78" s="1219"/>
      <c r="BO78" s="1219"/>
      <c r="BP78" s="1219"/>
      <c r="BQ78" s="1234"/>
      <c r="BR78" s="1219"/>
      <c r="BS78" s="1219"/>
      <c r="BT78" s="1219"/>
      <c r="BU78" s="1220"/>
    </row>
    <row r="79" spans="15:73" ht="12" thickBot="1"/>
    <row r="80" spans="15:73" ht="12" thickBot="1">
      <c r="O80" s="1209"/>
      <c r="P80" s="1210"/>
      <c r="Q80" s="1210"/>
      <c r="R80" s="1210"/>
      <c r="S80" s="1210"/>
      <c r="T80" s="1210"/>
      <c r="U80" s="1210"/>
      <c r="V80" s="1210"/>
      <c r="W80" s="1210"/>
      <c r="X80" s="1210"/>
      <c r="Y80" s="1210"/>
      <c r="Z80" s="1210"/>
      <c r="AA80" s="1210"/>
      <c r="AB80" s="1210"/>
      <c r="AC80" s="1210"/>
      <c r="AD80" s="1210"/>
      <c r="AE80" s="1210"/>
      <c r="AF80" s="1210"/>
      <c r="AG80" s="1210"/>
      <c r="AH80" s="1210"/>
      <c r="AI80" s="1210"/>
      <c r="AJ80" s="1210"/>
      <c r="AK80" s="1210"/>
      <c r="AL80" s="1210"/>
      <c r="AM80" s="1210"/>
      <c r="AN80" s="1210"/>
      <c r="AO80" s="1210"/>
      <c r="AP80" s="1210"/>
      <c r="AQ80" s="1211"/>
      <c r="AS80" s="1209"/>
      <c r="AT80" s="1210"/>
      <c r="AU80" s="1210"/>
      <c r="AV80" s="1210"/>
      <c r="AW80" s="1210"/>
      <c r="AX80" s="1210"/>
      <c r="AY80" s="1210"/>
      <c r="AZ80" s="1210"/>
      <c r="BA80" s="1210"/>
      <c r="BB80" s="1210"/>
      <c r="BC80" s="1210"/>
      <c r="BD80" s="1210"/>
      <c r="BE80" s="1210"/>
      <c r="BF80" s="1210"/>
      <c r="BG80" s="1210"/>
      <c r="BH80" s="1210"/>
      <c r="BI80" s="1210"/>
      <c r="BJ80" s="1210"/>
      <c r="BK80" s="1210"/>
      <c r="BL80" s="1210"/>
      <c r="BM80" s="1210"/>
      <c r="BN80" s="1210"/>
      <c r="BO80" s="1210"/>
      <c r="BP80" s="1210"/>
      <c r="BQ80" s="1210"/>
      <c r="BR80" s="1210"/>
      <c r="BS80" s="1210"/>
      <c r="BT80" s="1210"/>
      <c r="BU80" s="1211"/>
    </row>
    <row r="81" spans="15:73" ht="12" thickBot="1">
      <c r="O81" s="1212"/>
      <c r="P81" s="1847" t="s">
        <v>1471</v>
      </c>
      <c r="Q81" s="1848"/>
      <c r="AQ81" s="1213"/>
      <c r="AS81" s="1212"/>
      <c r="AT81" s="1847" t="s">
        <v>1471</v>
      </c>
      <c r="AU81" s="1848"/>
      <c r="BU81" s="1213"/>
    </row>
    <row r="82" spans="15:73">
      <c r="O82" s="1212"/>
      <c r="P82" s="1842" t="s">
        <v>1295</v>
      </c>
      <c r="Q82" s="1842"/>
      <c r="R82" s="1214"/>
      <c r="S82" s="1214"/>
      <c r="T82" s="1214"/>
      <c r="U82" s="1214"/>
      <c r="W82" s="1842" t="s">
        <v>1468</v>
      </c>
      <c r="X82" s="1842"/>
      <c r="Y82" s="1214"/>
      <c r="Z82" s="1214"/>
      <c r="AA82" s="1214"/>
      <c r="AB82" s="1214"/>
      <c r="AD82" s="1842" t="s">
        <v>1310</v>
      </c>
      <c r="AE82" s="1842"/>
      <c r="AF82" s="1214"/>
      <c r="AG82" s="1214"/>
      <c r="AH82" s="1214"/>
      <c r="AI82" s="1214"/>
      <c r="AK82" s="1842" t="s">
        <v>1309</v>
      </c>
      <c r="AL82" s="1842"/>
      <c r="AM82" s="1214"/>
      <c r="AN82" s="1214"/>
      <c r="AO82" s="1214"/>
      <c r="AP82" s="1214"/>
      <c r="AQ82" s="1213"/>
      <c r="AS82" s="1212"/>
      <c r="AT82" s="1842" t="s">
        <v>1295</v>
      </c>
      <c r="AU82" s="1842"/>
      <c r="AV82" s="1214"/>
      <c r="AW82" s="1214"/>
      <c r="AX82" s="1214"/>
      <c r="AY82" s="1214"/>
      <c r="BA82" s="1842" t="s">
        <v>1468</v>
      </c>
      <c r="BB82" s="1842"/>
      <c r="BC82" s="1214"/>
      <c r="BD82" s="1214"/>
      <c r="BE82" s="1214"/>
      <c r="BF82" s="1214"/>
      <c r="BH82" s="1842" t="s">
        <v>1310</v>
      </c>
      <c r="BI82" s="1842"/>
      <c r="BJ82" s="1214"/>
      <c r="BK82" s="1214"/>
      <c r="BL82" s="1214"/>
      <c r="BM82" s="1214"/>
      <c r="BO82" s="1842" t="s">
        <v>1309</v>
      </c>
      <c r="BP82" s="1842"/>
      <c r="BQ82" s="1214"/>
      <c r="BR82" s="1214"/>
      <c r="BS82" s="1214"/>
      <c r="BT82" s="1214"/>
      <c r="BU82" s="1213"/>
    </row>
    <row r="83" spans="15:73">
      <c r="O83" s="1212"/>
      <c r="P83" s="1843" t="s">
        <v>1297</v>
      </c>
      <c r="Q83" s="1844"/>
      <c r="R83" s="1214"/>
      <c r="S83" s="1214"/>
      <c r="T83" s="1214"/>
      <c r="U83" s="1215" t="s">
        <v>1298</v>
      </c>
      <c r="W83" s="1843" t="s">
        <v>1297</v>
      </c>
      <c r="X83" s="1844"/>
      <c r="Y83" s="1232"/>
      <c r="Z83" s="1214"/>
      <c r="AA83" s="1214"/>
      <c r="AB83" s="1215" t="s">
        <v>1298</v>
      </c>
      <c r="AD83" s="1843" t="s">
        <v>1297</v>
      </c>
      <c r="AE83" s="1844"/>
      <c r="AF83" s="1214"/>
      <c r="AG83" s="1214"/>
      <c r="AH83" s="1214"/>
      <c r="AI83" s="1215" t="s">
        <v>1298</v>
      </c>
      <c r="AK83" s="1843" t="s">
        <v>1297</v>
      </c>
      <c r="AL83" s="1844"/>
      <c r="AM83" s="1214"/>
      <c r="AN83" s="1214"/>
      <c r="AO83" s="1214"/>
      <c r="AP83" s="1215" t="s">
        <v>1298</v>
      </c>
      <c r="AQ83" s="1213"/>
      <c r="AS83" s="1212"/>
      <c r="AT83" s="1843" t="s">
        <v>1297</v>
      </c>
      <c r="AU83" s="1844"/>
      <c r="AV83" s="1214"/>
      <c r="AW83" s="1214"/>
      <c r="AX83" s="1214"/>
      <c r="AY83" s="1215" t="s">
        <v>1298</v>
      </c>
      <c r="BA83" s="1843" t="s">
        <v>1297</v>
      </c>
      <c r="BB83" s="1844"/>
      <c r="BC83" s="1232"/>
      <c r="BD83" s="1214"/>
      <c r="BE83" s="1214"/>
      <c r="BF83" s="1215" t="s">
        <v>1298</v>
      </c>
      <c r="BH83" s="1843" t="s">
        <v>1297</v>
      </c>
      <c r="BI83" s="1844"/>
      <c r="BJ83" s="1214"/>
      <c r="BK83" s="1214"/>
      <c r="BL83" s="1214"/>
      <c r="BM83" s="1215" t="s">
        <v>1298</v>
      </c>
      <c r="BO83" s="1843" t="s">
        <v>1297</v>
      </c>
      <c r="BP83" s="1844"/>
      <c r="BQ83" s="1214"/>
      <c r="BR83" s="1214"/>
      <c r="BS83" s="1214"/>
      <c r="BT83" s="1215" t="s">
        <v>1298</v>
      </c>
      <c r="BU83" s="1213"/>
    </row>
    <row r="84" spans="15:73">
      <c r="O84" s="1212"/>
      <c r="P84" s="1198" t="s">
        <v>409</v>
      </c>
      <c r="Q84" s="1198" t="s">
        <v>410</v>
      </c>
      <c r="R84" s="1198" t="s">
        <v>375</v>
      </c>
      <c r="S84" s="1198" t="s">
        <v>411</v>
      </c>
      <c r="T84" s="1198" t="s">
        <v>1299</v>
      </c>
      <c r="U84" s="1198" t="s">
        <v>1300</v>
      </c>
      <c r="W84" s="1198" t="s">
        <v>409</v>
      </c>
      <c r="X84" s="1198" t="s">
        <v>410</v>
      </c>
      <c r="Y84" s="1198" t="s">
        <v>375</v>
      </c>
      <c r="Z84" s="1198" t="s">
        <v>411</v>
      </c>
      <c r="AA84" s="1198" t="s">
        <v>1299</v>
      </c>
      <c r="AB84" s="1198" t="s">
        <v>1300</v>
      </c>
      <c r="AD84" s="1198" t="s">
        <v>409</v>
      </c>
      <c r="AE84" s="1198" t="s">
        <v>410</v>
      </c>
      <c r="AF84" s="1198" t="s">
        <v>375</v>
      </c>
      <c r="AG84" s="1198" t="s">
        <v>411</v>
      </c>
      <c r="AH84" s="1198" t="s">
        <v>1299</v>
      </c>
      <c r="AI84" s="1198" t="s">
        <v>1300</v>
      </c>
      <c r="AK84" s="1198" t="s">
        <v>409</v>
      </c>
      <c r="AL84" s="1198" t="s">
        <v>410</v>
      </c>
      <c r="AM84" s="1198" t="s">
        <v>375</v>
      </c>
      <c r="AN84" s="1198" t="s">
        <v>411</v>
      </c>
      <c r="AO84" s="1198" t="s">
        <v>1299</v>
      </c>
      <c r="AP84" s="1198" t="s">
        <v>1300</v>
      </c>
      <c r="AQ84" s="1213"/>
      <c r="AS84" s="1212"/>
      <c r="AT84" s="1198" t="s">
        <v>409</v>
      </c>
      <c r="AU84" s="1198" t="s">
        <v>410</v>
      </c>
      <c r="AV84" s="1198" t="s">
        <v>375</v>
      </c>
      <c r="AW84" s="1198" t="s">
        <v>411</v>
      </c>
      <c r="AX84" s="1198" t="s">
        <v>1299</v>
      </c>
      <c r="AY84" s="1198" t="s">
        <v>1300</v>
      </c>
      <c r="BA84" s="1198" t="s">
        <v>409</v>
      </c>
      <c r="BB84" s="1198" t="s">
        <v>410</v>
      </c>
      <c r="BC84" s="1198" t="s">
        <v>375</v>
      </c>
      <c r="BD84" s="1198" t="s">
        <v>411</v>
      </c>
      <c r="BE84" s="1198" t="s">
        <v>1299</v>
      </c>
      <c r="BF84" s="1198" t="s">
        <v>1300</v>
      </c>
      <c r="BH84" s="1198" t="s">
        <v>409</v>
      </c>
      <c r="BI84" s="1198" t="s">
        <v>410</v>
      </c>
      <c r="BJ84" s="1198" t="s">
        <v>375</v>
      </c>
      <c r="BK84" s="1198" t="s">
        <v>411</v>
      </c>
      <c r="BL84" s="1198" t="s">
        <v>1299</v>
      </c>
      <c r="BM84" s="1198" t="s">
        <v>1300</v>
      </c>
      <c r="BO84" s="1198" t="s">
        <v>409</v>
      </c>
      <c r="BP84" s="1198" t="s">
        <v>410</v>
      </c>
      <c r="BQ84" s="1198" t="s">
        <v>375</v>
      </c>
      <c r="BR84" s="1198" t="s">
        <v>411</v>
      </c>
      <c r="BS84" s="1198" t="s">
        <v>1299</v>
      </c>
      <c r="BT84" s="1198" t="s">
        <v>1300</v>
      </c>
      <c r="BU84" s="1213"/>
    </row>
    <row r="85" spans="15:73">
      <c r="O85" s="1212"/>
      <c r="P85" s="1206" t="s">
        <v>1301</v>
      </c>
      <c r="Q85" s="1206" t="s">
        <v>1302</v>
      </c>
      <c r="R85" s="1200">
        <f>AV85*1.03</f>
        <v>132591.9</v>
      </c>
      <c r="S85" s="1200">
        <f t="shared" ref="S85:U93" si="57">AW85*1.03</f>
        <v>171783.4</v>
      </c>
      <c r="T85" s="1200">
        <f t="shared" si="57"/>
        <v>136866.4</v>
      </c>
      <c r="U85" s="1200">
        <f t="shared" si="57"/>
        <v>136866.4</v>
      </c>
      <c r="W85" s="1206" t="s">
        <v>1301</v>
      </c>
      <c r="X85" s="1206" t="s">
        <v>1302</v>
      </c>
      <c r="Y85" s="1200">
        <f>BC85*1.03</f>
        <v>128636.7</v>
      </c>
      <c r="Z85" s="1200">
        <f t="shared" ref="Z85:AB93" si="58">BD85*1.03</f>
        <v>171783.4</v>
      </c>
      <c r="AA85" s="1200">
        <f t="shared" si="58"/>
        <v>136866.4</v>
      </c>
      <c r="AB85" s="1200">
        <f t="shared" si="58"/>
        <v>136866.4</v>
      </c>
      <c r="AD85" s="1206" t="s">
        <v>1301</v>
      </c>
      <c r="AE85" s="1206" t="s">
        <v>1302</v>
      </c>
      <c r="AF85" s="1200">
        <f>BJ85*1.03</f>
        <v>130377.40000000001</v>
      </c>
      <c r="AG85" s="1200">
        <f t="shared" ref="AG85:AI93" si="59">BK85*1.03</f>
        <v>171783.4</v>
      </c>
      <c r="AH85" s="1200">
        <f t="shared" si="59"/>
        <v>146744.1</v>
      </c>
      <c r="AI85" s="1200">
        <f t="shared" si="59"/>
        <v>146744.1</v>
      </c>
      <c r="AK85" s="1206" t="s">
        <v>1301</v>
      </c>
      <c r="AL85" s="1206" t="s">
        <v>1302</v>
      </c>
      <c r="AM85" s="1200">
        <f>BQ85*1.03</f>
        <v>130377.40000000001</v>
      </c>
      <c r="AN85" s="1200">
        <f t="shared" ref="AN85:AP93" si="60">BR85*1.03</f>
        <v>171783.4</v>
      </c>
      <c r="AO85" s="1200">
        <f t="shared" si="60"/>
        <v>146744.1</v>
      </c>
      <c r="AP85" s="1200">
        <f t="shared" si="60"/>
        <v>146744.1</v>
      </c>
      <c r="AQ85" s="1213"/>
      <c r="AS85" s="1212"/>
      <c r="AT85" s="1206" t="s">
        <v>1301</v>
      </c>
      <c r="AU85" s="1206" t="s">
        <v>1302</v>
      </c>
      <c r="AV85" s="1200">
        <v>128730</v>
      </c>
      <c r="AW85" s="1200">
        <v>166780</v>
      </c>
      <c r="AX85" s="1200">
        <v>132880</v>
      </c>
      <c r="AY85" s="1200">
        <v>132880</v>
      </c>
      <c r="BA85" s="1206" t="s">
        <v>1301</v>
      </c>
      <c r="BB85" s="1206" t="s">
        <v>1302</v>
      </c>
      <c r="BC85" s="1200">
        <v>124890</v>
      </c>
      <c r="BD85" s="1200">
        <v>166780</v>
      </c>
      <c r="BE85" s="1200">
        <v>132880</v>
      </c>
      <c r="BF85" s="1200">
        <v>132880</v>
      </c>
      <c r="BH85" s="1206" t="s">
        <v>1301</v>
      </c>
      <c r="BI85" s="1206" t="s">
        <v>1302</v>
      </c>
      <c r="BJ85" s="1200">
        <v>126580</v>
      </c>
      <c r="BK85" s="1200">
        <v>166780</v>
      </c>
      <c r="BL85" s="1200">
        <v>142470</v>
      </c>
      <c r="BM85" s="1200">
        <v>142470</v>
      </c>
      <c r="BO85" s="1206" t="s">
        <v>1301</v>
      </c>
      <c r="BP85" s="1206" t="s">
        <v>1302</v>
      </c>
      <c r="BQ85" s="1200">
        <v>126580</v>
      </c>
      <c r="BR85" s="1200">
        <v>166780</v>
      </c>
      <c r="BS85" s="1200">
        <v>142470</v>
      </c>
      <c r="BT85" s="1200">
        <v>142470</v>
      </c>
      <c r="BU85" s="1213"/>
    </row>
    <row r="86" spans="15:73">
      <c r="O86" s="1212"/>
      <c r="P86" s="1206" t="s">
        <v>1303</v>
      </c>
      <c r="Q86" s="1206" t="s">
        <v>412</v>
      </c>
      <c r="R86" s="1200">
        <f t="shared" ref="R86:R93" si="61">AV86*1.03</f>
        <v>196833</v>
      </c>
      <c r="S86" s="1200">
        <f t="shared" si="57"/>
        <v>160906.6</v>
      </c>
      <c r="T86" s="1200">
        <f t="shared" si="57"/>
        <v>196688.80000000002</v>
      </c>
      <c r="U86" s="1200">
        <f t="shared" si="57"/>
        <v>196688.80000000002</v>
      </c>
      <c r="W86" s="1206" t="s">
        <v>1303</v>
      </c>
      <c r="X86" s="1206" t="s">
        <v>412</v>
      </c>
      <c r="Y86" s="1200">
        <f t="shared" ref="Y86:Y93" si="62">BC86*1.03</f>
        <v>169960.30000000002</v>
      </c>
      <c r="Z86" s="1200">
        <f t="shared" si="58"/>
        <v>160906.6</v>
      </c>
      <c r="AA86" s="1200">
        <f t="shared" si="58"/>
        <v>175058.80000000002</v>
      </c>
      <c r="AB86" s="1200">
        <f t="shared" si="58"/>
        <v>175058.80000000002</v>
      </c>
      <c r="AD86" s="1206" t="s">
        <v>1303</v>
      </c>
      <c r="AE86" s="1206" t="s">
        <v>412</v>
      </c>
      <c r="AF86" s="1200">
        <f t="shared" ref="AF86:AF93" si="63">BJ86*1.03</f>
        <v>193557.6</v>
      </c>
      <c r="AG86" s="1200">
        <f t="shared" si="59"/>
        <v>160906.6</v>
      </c>
      <c r="AH86" s="1200">
        <f t="shared" si="59"/>
        <v>210902.80000000002</v>
      </c>
      <c r="AI86" s="1200">
        <f t="shared" si="59"/>
        <v>210902.80000000002</v>
      </c>
      <c r="AK86" s="1206" t="s">
        <v>1303</v>
      </c>
      <c r="AL86" s="1206" t="s">
        <v>412</v>
      </c>
      <c r="AM86" s="1200">
        <f t="shared" ref="AM86:AM93" si="64">BQ86*1.03</f>
        <v>172277.80000000002</v>
      </c>
      <c r="AN86" s="1200">
        <f t="shared" si="60"/>
        <v>160906.6</v>
      </c>
      <c r="AO86" s="1200">
        <f t="shared" si="60"/>
        <v>187707.2</v>
      </c>
      <c r="AP86" s="1200">
        <f t="shared" si="60"/>
        <v>187707.2</v>
      </c>
      <c r="AQ86" s="1213"/>
      <c r="AS86" s="1212"/>
      <c r="AT86" s="1206" t="s">
        <v>1303</v>
      </c>
      <c r="AU86" s="1206" t="s">
        <v>412</v>
      </c>
      <c r="AV86" s="1200">
        <v>191100</v>
      </c>
      <c r="AW86" s="1200">
        <v>156220</v>
      </c>
      <c r="AX86" s="1200">
        <v>190960</v>
      </c>
      <c r="AY86" s="1200">
        <v>190960</v>
      </c>
      <c r="BA86" s="1206" t="s">
        <v>1303</v>
      </c>
      <c r="BB86" s="1206" t="s">
        <v>412</v>
      </c>
      <c r="BC86" s="1200">
        <v>165010</v>
      </c>
      <c r="BD86" s="1200">
        <v>156220</v>
      </c>
      <c r="BE86" s="1200">
        <v>169960</v>
      </c>
      <c r="BF86" s="1200">
        <v>169960</v>
      </c>
      <c r="BH86" s="1206" t="s">
        <v>1303</v>
      </c>
      <c r="BI86" s="1206" t="s">
        <v>412</v>
      </c>
      <c r="BJ86" s="1200">
        <v>187920</v>
      </c>
      <c r="BK86" s="1200">
        <v>156220</v>
      </c>
      <c r="BL86" s="1200">
        <v>204760</v>
      </c>
      <c r="BM86" s="1200">
        <v>204760</v>
      </c>
      <c r="BO86" s="1206" t="s">
        <v>1303</v>
      </c>
      <c r="BP86" s="1206" t="s">
        <v>412</v>
      </c>
      <c r="BQ86" s="1200">
        <v>167260</v>
      </c>
      <c r="BR86" s="1200">
        <v>156220</v>
      </c>
      <c r="BS86" s="1200">
        <v>182240</v>
      </c>
      <c r="BT86" s="1200">
        <v>182240</v>
      </c>
      <c r="BU86" s="1213"/>
    </row>
    <row r="87" spans="15:73">
      <c r="O87" s="1212"/>
      <c r="P87" s="1849" t="s">
        <v>255</v>
      </c>
      <c r="Q87" s="1206" t="s">
        <v>413</v>
      </c>
      <c r="R87" s="1200">
        <f t="shared" si="61"/>
        <v>305261.10000000003</v>
      </c>
      <c r="S87" s="1200">
        <f t="shared" si="57"/>
        <v>348438.7</v>
      </c>
      <c r="T87" s="1200">
        <f t="shared" si="57"/>
        <v>350406</v>
      </c>
      <c r="U87" s="1200">
        <f t="shared" si="57"/>
        <v>350406</v>
      </c>
      <c r="W87" s="1849" t="s">
        <v>255</v>
      </c>
      <c r="X87" s="1206" t="s">
        <v>413</v>
      </c>
      <c r="Y87" s="1200">
        <f t="shared" si="62"/>
        <v>263587.3</v>
      </c>
      <c r="Z87" s="1200">
        <f t="shared" si="58"/>
        <v>348438.7</v>
      </c>
      <c r="AA87" s="1200">
        <f t="shared" si="58"/>
        <v>311873.7</v>
      </c>
      <c r="AB87" s="1200">
        <f t="shared" si="58"/>
        <v>311873.7</v>
      </c>
      <c r="AD87" s="1849" t="s">
        <v>255</v>
      </c>
      <c r="AE87" s="1206" t="s">
        <v>413</v>
      </c>
      <c r="AF87" s="1200">
        <f t="shared" si="63"/>
        <v>300172.90000000002</v>
      </c>
      <c r="AG87" s="1200">
        <f t="shared" si="59"/>
        <v>348449</v>
      </c>
      <c r="AH87" s="1200">
        <f t="shared" si="59"/>
        <v>375713.10000000003</v>
      </c>
      <c r="AI87" s="1200">
        <f t="shared" si="59"/>
        <v>375713.10000000003</v>
      </c>
      <c r="AK87" s="1849" t="s">
        <v>255</v>
      </c>
      <c r="AL87" s="1206" t="s">
        <v>413</v>
      </c>
      <c r="AM87" s="1200">
        <f t="shared" si="64"/>
        <v>267161.40000000002</v>
      </c>
      <c r="AN87" s="1200">
        <f t="shared" si="60"/>
        <v>348449</v>
      </c>
      <c r="AO87" s="1200">
        <f t="shared" si="60"/>
        <v>334389.5</v>
      </c>
      <c r="AP87" s="1200">
        <f t="shared" si="60"/>
        <v>334389.5</v>
      </c>
      <c r="AQ87" s="1213"/>
      <c r="AS87" s="1212"/>
      <c r="AT87" s="1849" t="s">
        <v>255</v>
      </c>
      <c r="AU87" s="1206" t="s">
        <v>413</v>
      </c>
      <c r="AV87" s="1200">
        <v>296370</v>
      </c>
      <c r="AW87" s="1200">
        <v>338290</v>
      </c>
      <c r="AX87" s="1200">
        <v>340200</v>
      </c>
      <c r="AY87" s="1200">
        <v>340200</v>
      </c>
      <c r="BA87" s="1849" t="s">
        <v>255</v>
      </c>
      <c r="BB87" s="1206" t="s">
        <v>413</v>
      </c>
      <c r="BC87" s="1200">
        <v>255910</v>
      </c>
      <c r="BD87" s="1200">
        <v>338290</v>
      </c>
      <c r="BE87" s="1200">
        <v>302790</v>
      </c>
      <c r="BF87" s="1200">
        <v>302790</v>
      </c>
      <c r="BH87" s="1849" t="s">
        <v>255</v>
      </c>
      <c r="BI87" s="1206" t="s">
        <v>413</v>
      </c>
      <c r="BJ87" s="1200">
        <v>291430</v>
      </c>
      <c r="BK87" s="1200">
        <v>338300</v>
      </c>
      <c r="BL87" s="1200">
        <v>364770</v>
      </c>
      <c r="BM87" s="1200">
        <v>364770</v>
      </c>
      <c r="BO87" s="1849" t="s">
        <v>255</v>
      </c>
      <c r="BP87" s="1206" t="s">
        <v>413</v>
      </c>
      <c r="BQ87" s="1200">
        <v>259380</v>
      </c>
      <c r="BR87" s="1200">
        <v>338300</v>
      </c>
      <c r="BS87" s="1200">
        <v>324650</v>
      </c>
      <c r="BT87" s="1200">
        <v>324650</v>
      </c>
      <c r="BU87" s="1213"/>
    </row>
    <row r="88" spans="15:73">
      <c r="O88" s="1212"/>
      <c r="P88" s="1850"/>
      <c r="Q88" s="1206" t="s">
        <v>414</v>
      </c>
      <c r="R88" s="1200">
        <f t="shared" si="61"/>
        <v>312326.90000000002</v>
      </c>
      <c r="S88" s="1200">
        <f t="shared" si="57"/>
        <v>356503.60000000003</v>
      </c>
      <c r="T88" s="1200">
        <f t="shared" si="57"/>
        <v>358522.4</v>
      </c>
      <c r="U88" s="1200">
        <f t="shared" si="57"/>
        <v>358522.4</v>
      </c>
      <c r="W88" s="1850"/>
      <c r="X88" s="1206" t="s">
        <v>414</v>
      </c>
      <c r="Y88" s="1200">
        <f t="shared" si="62"/>
        <v>269684.90000000002</v>
      </c>
      <c r="Z88" s="1200">
        <f t="shared" si="58"/>
        <v>356503.60000000003</v>
      </c>
      <c r="AA88" s="1200">
        <f t="shared" si="58"/>
        <v>319094</v>
      </c>
      <c r="AB88" s="1200">
        <f t="shared" si="58"/>
        <v>319094</v>
      </c>
      <c r="AD88" s="1850"/>
      <c r="AE88" s="1206" t="s">
        <v>414</v>
      </c>
      <c r="AF88" s="1200">
        <f t="shared" si="63"/>
        <v>307125.40000000002</v>
      </c>
      <c r="AG88" s="1200">
        <f t="shared" si="59"/>
        <v>356513.9</v>
      </c>
      <c r="AH88" s="1200">
        <f t="shared" si="59"/>
        <v>384416.60000000003</v>
      </c>
      <c r="AI88" s="1200">
        <f t="shared" si="59"/>
        <v>384416.60000000003</v>
      </c>
      <c r="AK88" s="1850"/>
      <c r="AL88" s="1206" t="s">
        <v>414</v>
      </c>
      <c r="AM88" s="1200">
        <f t="shared" si="64"/>
        <v>273351.7</v>
      </c>
      <c r="AN88" s="1200">
        <f t="shared" si="60"/>
        <v>356513.9</v>
      </c>
      <c r="AO88" s="1200">
        <f t="shared" si="60"/>
        <v>342135.10000000003</v>
      </c>
      <c r="AP88" s="1200">
        <f t="shared" si="60"/>
        <v>342135.10000000003</v>
      </c>
      <c r="AQ88" s="1213"/>
      <c r="AS88" s="1212"/>
      <c r="AT88" s="1850"/>
      <c r="AU88" s="1206" t="s">
        <v>414</v>
      </c>
      <c r="AV88" s="1200">
        <v>303230</v>
      </c>
      <c r="AW88" s="1200">
        <v>346120</v>
      </c>
      <c r="AX88" s="1200">
        <v>348080</v>
      </c>
      <c r="AY88" s="1200">
        <v>348080</v>
      </c>
      <c r="BA88" s="1850"/>
      <c r="BB88" s="1206" t="s">
        <v>414</v>
      </c>
      <c r="BC88" s="1200">
        <v>261830</v>
      </c>
      <c r="BD88" s="1200">
        <v>346120</v>
      </c>
      <c r="BE88" s="1200">
        <v>309800</v>
      </c>
      <c r="BF88" s="1200">
        <v>309800</v>
      </c>
      <c r="BH88" s="1850"/>
      <c r="BI88" s="1206" t="s">
        <v>414</v>
      </c>
      <c r="BJ88" s="1200">
        <v>298180</v>
      </c>
      <c r="BK88" s="1200">
        <v>346130</v>
      </c>
      <c r="BL88" s="1200">
        <v>373220</v>
      </c>
      <c r="BM88" s="1200">
        <v>373220</v>
      </c>
      <c r="BO88" s="1850"/>
      <c r="BP88" s="1206" t="s">
        <v>414</v>
      </c>
      <c r="BQ88" s="1200">
        <v>265390</v>
      </c>
      <c r="BR88" s="1200">
        <v>346130</v>
      </c>
      <c r="BS88" s="1200">
        <v>332170</v>
      </c>
      <c r="BT88" s="1200">
        <v>332170</v>
      </c>
      <c r="BU88" s="1213"/>
    </row>
    <row r="89" spans="15:73">
      <c r="O89" s="1212"/>
      <c r="P89" s="1851"/>
      <c r="Q89" s="1206" t="s">
        <v>1304</v>
      </c>
      <c r="R89" s="1200">
        <f t="shared" si="61"/>
        <v>323069.8</v>
      </c>
      <c r="S89" s="1200">
        <f t="shared" si="57"/>
        <v>368770.9</v>
      </c>
      <c r="T89" s="1200">
        <f t="shared" si="57"/>
        <v>370851.5</v>
      </c>
      <c r="U89" s="1200">
        <f t="shared" si="57"/>
        <v>370851.5</v>
      </c>
      <c r="W89" s="1851"/>
      <c r="X89" s="1206" t="s">
        <v>1304</v>
      </c>
      <c r="Y89" s="1200">
        <f t="shared" si="62"/>
        <v>278965.2</v>
      </c>
      <c r="Z89" s="1200">
        <f t="shared" si="58"/>
        <v>368770.9</v>
      </c>
      <c r="AA89" s="1200">
        <f t="shared" si="58"/>
        <v>330063.5</v>
      </c>
      <c r="AB89" s="1200">
        <f t="shared" si="58"/>
        <v>330063.5</v>
      </c>
      <c r="AD89" s="1851"/>
      <c r="AE89" s="1206" t="s">
        <v>1304</v>
      </c>
      <c r="AF89" s="1200">
        <f t="shared" si="63"/>
        <v>317682.90000000002</v>
      </c>
      <c r="AG89" s="1200">
        <f t="shared" si="59"/>
        <v>368781.2</v>
      </c>
      <c r="AH89" s="1200">
        <f t="shared" si="59"/>
        <v>397631.5</v>
      </c>
      <c r="AI89" s="1200">
        <f t="shared" si="59"/>
        <v>397631.5</v>
      </c>
      <c r="AK89" s="1851"/>
      <c r="AL89" s="1206" t="s">
        <v>1304</v>
      </c>
      <c r="AM89" s="1200">
        <f t="shared" si="64"/>
        <v>282745.3</v>
      </c>
      <c r="AN89" s="1200">
        <f t="shared" si="60"/>
        <v>368781.2</v>
      </c>
      <c r="AO89" s="1200">
        <f t="shared" si="60"/>
        <v>353897.7</v>
      </c>
      <c r="AP89" s="1200">
        <f t="shared" si="60"/>
        <v>353897.7</v>
      </c>
      <c r="AQ89" s="1213"/>
      <c r="AS89" s="1212"/>
      <c r="AT89" s="1851"/>
      <c r="AU89" s="1206" t="s">
        <v>1304</v>
      </c>
      <c r="AV89" s="1200">
        <v>313660</v>
      </c>
      <c r="AW89" s="1200">
        <v>358030</v>
      </c>
      <c r="AX89" s="1200">
        <v>360050</v>
      </c>
      <c r="AY89" s="1200">
        <v>360050</v>
      </c>
      <c r="BA89" s="1851"/>
      <c r="BB89" s="1206" t="s">
        <v>1304</v>
      </c>
      <c r="BC89" s="1200">
        <v>270840</v>
      </c>
      <c r="BD89" s="1200">
        <v>358030</v>
      </c>
      <c r="BE89" s="1200">
        <v>320450</v>
      </c>
      <c r="BF89" s="1200">
        <v>320450</v>
      </c>
      <c r="BH89" s="1851"/>
      <c r="BI89" s="1206" t="s">
        <v>1304</v>
      </c>
      <c r="BJ89" s="1200">
        <v>308430</v>
      </c>
      <c r="BK89" s="1200">
        <v>358040</v>
      </c>
      <c r="BL89" s="1200">
        <v>386050</v>
      </c>
      <c r="BM89" s="1200">
        <v>386050</v>
      </c>
      <c r="BO89" s="1851"/>
      <c r="BP89" s="1206" t="s">
        <v>1304</v>
      </c>
      <c r="BQ89" s="1200">
        <v>274510</v>
      </c>
      <c r="BR89" s="1200">
        <v>358040</v>
      </c>
      <c r="BS89" s="1200">
        <v>343590</v>
      </c>
      <c r="BT89" s="1200">
        <v>343590</v>
      </c>
      <c r="BU89" s="1213"/>
    </row>
    <row r="90" spans="15:73">
      <c r="O90" s="1212"/>
      <c r="P90" s="1849" t="s">
        <v>1467</v>
      </c>
      <c r="Q90" s="1206" t="s">
        <v>1305</v>
      </c>
      <c r="R90" s="1200">
        <f t="shared" si="61"/>
        <v>3522.6</v>
      </c>
      <c r="S90" s="1200">
        <f t="shared" si="57"/>
        <v>2060</v>
      </c>
      <c r="T90" s="1200">
        <f t="shared" si="57"/>
        <v>1699.5</v>
      </c>
      <c r="U90" s="1200">
        <f t="shared" si="57"/>
        <v>1699.5</v>
      </c>
      <c r="W90" s="1849" t="s">
        <v>1467</v>
      </c>
      <c r="X90" s="1206" t="s">
        <v>1305</v>
      </c>
      <c r="Y90" s="1200">
        <f t="shared" si="62"/>
        <v>3038.5</v>
      </c>
      <c r="Z90" s="1200">
        <f t="shared" si="58"/>
        <v>2060</v>
      </c>
      <c r="AA90" s="1200">
        <f t="shared" si="58"/>
        <v>1514.1000000000001</v>
      </c>
      <c r="AB90" s="1200">
        <f t="shared" si="58"/>
        <v>1514.1000000000001</v>
      </c>
      <c r="AD90" s="1849" t="s">
        <v>1467</v>
      </c>
      <c r="AE90" s="1206" t="s">
        <v>1305</v>
      </c>
      <c r="AF90" s="1200">
        <f t="shared" si="63"/>
        <v>3471.1</v>
      </c>
      <c r="AG90" s="1200">
        <f t="shared" si="59"/>
        <v>2060</v>
      </c>
      <c r="AH90" s="1200">
        <f t="shared" si="59"/>
        <v>1823.1000000000001</v>
      </c>
      <c r="AI90" s="1200">
        <f t="shared" si="59"/>
        <v>1823.1000000000001</v>
      </c>
      <c r="AK90" s="1849" t="s">
        <v>1467</v>
      </c>
      <c r="AL90" s="1206" t="s">
        <v>1305</v>
      </c>
      <c r="AM90" s="1200">
        <f t="shared" si="64"/>
        <v>3090</v>
      </c>
      <c r="AN90" s="1200">
        <f t="shared" si="60"/>
        <v>2060</v>
      </c>
      <c r="AO90" s="1200">
        <f t="shared" si="60"/>
        <v>1617.1000000000001</v>
      </c>
      <c r="AP90" s="1200">
        <f t="shared" si="60"/>
        <v>1617.1000000000001</v>
      </c>
      <c r="AQ90" s="1213"/>
      <c r="AS90" s="1212"/>
      <c r="AT90" s="1849" t="s">
        <v>1467</v>
      </c>
      <c r="AU90" s="1206" t="s">
        <v>1305</v>
      </c>
      <c r="AV90" s="1200">
        <v>3420</v>
      </c>
      <c r="AW90" s="1200">
        <v>2000</v>
      </c>
      <c r="AX90" s="1200">
        <v>1650</v>
      </c>
      <c r="AY90" s="1200">
        <v>1650</v>
      </c>
      <c r="BA90" s="1849" t="s">
        <v>1467</v>
      </c>
      <c r="BB90" s="1206" t="s">
        <v>1305</v>
      </c>
      <c r="BC90" s="1200">
        <v>2950</v>
      </c>
      <c r="BD90" s="1200">
        <v>2000</v>
      </c>
      <c r="BE90" s="1200">
        <v>1470</v>
      </c>
      <c r="BF90" s="1200">
        <v>1470</v>
      </c>
      <c r="BH90" s="1849" t="s">
        <v>1467</v>
      </c>
      <c r="BI90" s="1206" t="s">
        <v>1305</v>
      </c>
      <c r="BJ90" s="1200">
        <v>3370</v>
      </c>
      <c r="BK90" s="1200">
        <v>2000</v>
      </c>
      <c r="BL90" s="1200">
        <v>1770</v>
      </c>
      <c r="BM90" s="1200">
        <v>1770</v>
      </c>
      <c r="BO90" s="1849" t="s">
        <v>1467</v>
      </c>
      <c r="BP90" s="1206" t="s">
        <v>1305</v>
      </c>
      <c r="BQ90" s="1200">
        <v>3000</v>
      </c>
      <c r="BR90" s="1200">
        <v>2000</v>
      </c>
      <c r="BS90" s="1200">
        <v>1570</v>
      </c>
      <c r="BT90" s="1200">
        <v>1570</v>
      </c>
      <c r="BU90" s="1213"/>
    </row>
    <row r="91" spans="15:73">
      <c r="O91" s="1212"/>
      <c r="P91" s="1850"/>
      <c r="Q91" s="1206" t="s">
        <v>1306</v>
      </c>
      <c r="R91" s="1200">
        <f t="shared" si="61"/>
        <v>5088.2</v>
      </c>
      <c r="S91" s="1200">
        <f t="shared" si="57"/>
        <v>2966.4</v>
      </c>
      <c r="T91" s="1200">
        <f t="shared" si="57"/>
        <v>2451.4</v>
      </c>
      <c r="U91" s="1200">
        <f t="shared" si="57"/>
        <v>2451.4</v>
      </c>
      <c r="W91" s="1850"/>
      <c r="X91" s="1206" t="s">
        <v>1306</v>
      </c>
      <c r="Y91" s="1200">
        <f t="shared" si="62"/>
        <v>4398.1000000000004</v>
      </c>
      <c r="Z91" s="1200">
        <f t="shared" si="58"/>
        <v>2966.4</v>
      </c>
      <c r="AA91" s="1200">
        <f t="shared" si="58"/>
        <v>2183.6</v>
      </c>
      <c r="AB91" s="1200">
        <f t="shared" si="58"/>
        <v>2183.6</v>
      </c>
      <c r="AD91" s="1850"/>
      <c r="AE91" s="1206" t="s">
        <v>1306</v>
      </c>
      <c r="AF91" s="1200">
        <f t="shared" si="63"/>
        <v>5005.8</v>
      </c>
      <c r="AG91" s="1200">
        <f t="shared" si="59"/>
        <v>2976.7000000000003</v>
      </c>
      <c r="AH91" s="1200">
        <f t="shared" si="59"/>
        <v>2626.5</v>
      </c>
      <c r="AI91" s="1200">
        <f t="shared" si="59"/>
        <v>2626.5</v>
      </c>
      <c r="AK91" s="1850"/>
      <c r="AL91" s="1206" t="s">
        <v>1306</v>
      </c>
      <c r="AM91" s="1200">
        <f t="shared" si="64"/>
        <v>4459.9000000000005</v>
      </c>
      <c r="AN91" s="1200">
        <f t="shared" si="60"/>
        <v>2976.7000000000003</v>
      </c>
      <c r="AO91" s="1200">
        <f t="shared" si="60"/>
        <v>2338.1</v>
      </c>
      <c r="AP91" s="1200">
        <f t="shared" si="60"/>
        <v>2338.1</v>
      </c>
      <c r="AQ91" s="1213"/>
      <c r="AS91" s="1212"/>
      <c r="AT91" s="1850"/>
      <c r="AU91" s="1206" t="s">
        <v>1306</v>
      </c>
      <c r="AV91" s="1200">
        <v>4940</v>
      </c>
      <c r="AW91" s="1200">
        <v>2880</v>
      </c>
      <c r="AX91" s="1200">
        <v>2380</v>
      </c>
      <c r="AY91" s="1200">
        <v>2380</v>
      </c>
      <c r="BA91" s="1850"/>
      <c r="BB91" s="1206" t="s">
        <v>1306</v>
      </c>
      <c r="BC91" s="1200">
        <v>4270</v>
      </c>
      <c r="BD91" s="1200">
        <v>2880</v>
      </c>
      <c r="BE91" s="1200">
        <v>2120</v>
      </c>
      <c r="BF91" s="1200">
        <v>2120</v>
      </c>
      <c r="BH91" s="1850"/>
      <c r="BI91" s="1206" t="s">
        <v>1306</v>
      </c>
      <c r="BJ91" s="1200">
        <v>4860</v>
      </c>
      <c r="BK91" s="1200">
        <v>2890</v>
      </c>
      <c r="BL91" s="1200">
        <v>2550</v>
      </c>
      <c r="BM91" s="1200">
        <v>2550</v>
      </c>
      <c r="BO91" s="1850"/>
      <c r="BP91" s="1206" t="s">
        <v>1306</v>
      </c>
      <c r="BQ91" s="1200">
        <v>4330</v>
      </c>
      <c r="BR91" s="1200">
        <v>2890</v>
      </c>
      <c r="BS91" s="1200">
        <v>2270</v>
      </c>
      <c r="BT91" s="1200">
        <v>2270</v>
      </c>
      <c r="BU91" s="1213"/>
    </row>
    <row r="92" spans="15:73">
      <c r="O92" s="1212"/>
      <c r="P92" s="1851"/>
      <c r="Q92" s="1206" t="s">
        <v>413</v>
      </c>
      <c r="R92" s="1200">
        <f t="shared" si="61"/>
        <v>9424.5</v>
      </c>
      <c r="S92" s="1200">
        <f t="shared" si="57"/>
        <v>5510.5</v>
      </c>
      <c r="T92" s="1200">
        <f t="shared" si="57"/>
        <v>4542.3</v>
      </c>
      <c r="U92" s="1200">
        <f t="shared" si="57"/>
        <v>4542.3</v>
      </c>
      <c r="W92" s="1851"/>
      <c r="X92" s="1206" t="s">
        <v>413</v>
      </c>
      <c r="Y92" s="1200">
        <f t="shared" si="62"/>
        <v>8137</v>
      </c>
      <c r="Z92" s="1200">
        <f t="shared" si="58"/>
        <v>5510.5</v>
      </c>
      <c r="AA92" s="1200">
        <f t="shared" si="58"/>
        <v>4037.6</v>
      </c>
      <c r="AB92" s="1200">
        <f t="shared" si="58"/>
        <v>4037.6</v>
      </c>
      <c r="AD92" s="1851"/>
      <c r="AE92" s="1206" t="s">
        <v>413</v>
      </c>
      <c r="AF92" s="1200">
        <f t="shared" si="63"/>
        <v>9280.3000000000011</v>
      </c>
      <c r="AG92" s="1200">
        <f t="shared" si="59"/>
        <v>5520.8</v>
      </c>
      <c r="AH92" s="1200">
        <f t="shared" si="59"/>
        <v>4871.9000000000005</v>
      </c>
      <c r="AI92" s="1200">
        <f t="shared" si="59"/>
        <v>4871.9000000000005</v>
      </c>
      <c r="AK92" s="1851"/>
      <c r="AL92" s="1206" t="s">
        <v>413</v>
      </c>
      <c r="AM92" s="1200">
        <f t="shared" si="64"/>
        <v>8260.6</v>
      </c>
      <c r="AN92" s="1200">
        <f t="shared" si="60"/>
        <v>5520.8</v>
      </c>
      <c r="AO92" s="1200">
        <f t="shared" si="60"/>
        <v>4336.3</v>
      </c>
      <c r="AP92" s="1200">
        <f t="shared" si="60"/>
        <v>4336.3</v>
      </c>
      <c r="AQ92" s="1213"/>
      <c r="AS92" s="1212"/>
      <c r="AT92" s="1851"/>
      <c r="AU92" s="1206" t="s">
        <v>413</v>
      </c>
      <c r="AV92" s="1200">
        <v>9150</v>
      </c>
      <c r="AW92" s="1200">
        <v>5350</v>
      </c>
      <c r="AX92" s="1200">
        <v>4410</v>
      </c>
      <c r="AY92" s="1200">
        <v>4410</v>
      </c>
      <c r="BA92" s="1851"/>
      <c r="BB92" s="1206" t="s">
        <v>413</v>
      </c>
      <c r="BC92" s="1200">
        <v>7900</v>
      </c>
      <c r="BD92" s="1200">
        <v>5350</v>
      </c>
      <c r="BE92" s="1200">
        <v>3920</v>
      </c>
      <c r="BF92" s="1200">
        <v>3920</v>
      </c>
      <c r="BH92" s="1851"/>
      <c r="BI92" s="1206" t="s">
        <v>413</v>
      </c>
      <c r="BJ92" s="1200">
        <v>9010</v>
      </c>
      <c r="BK92" s="1200">
        <v>5360</v>
      </c>
      <c r="BL92" s="1200">
        <v>4730</v>
      </c>
      <c r="BM92" s="1200">
        <v>4730</v>
      </c>
      <c r="BO92" s="1851"/>
      <c r="BP92" s="1206" t="s">
        <v>413</v>
      </c>
      <c r="BQ92" s="1200">
        <v>8020</v>
      </c>
      <c r="BR92" s="1200">
        <v>5360</v>
      </c>
      <c r="BS92" s="1200">
        <v>4210</v>
      </c>
      <c r="BT92" s="1200">
        <v>4210</v>
      </c>
      <c r="BU92" s="1213"/>
    </row>
    <row r="93" spans="15:73">
      <c r="O93" s="1212"/>
      <c r="P93" s="1206" t="s">
        <v>416</v>
      </c>
      <c r="Q93" s="1206" t="s">
        <v>414</v>
      </c>
      <c r="R93" s="1200">
        <f t="shared" si="61"/>
        <v>2163</v>
      </c>
      <c r="S93" s="1200">
        <f t="shared" si="57"/>
        <v>3677.1</v>
      </c>
      <c r="T93" s="1200">
        <f t="shared" si="57"/>
        <v>1874.6000000000001</v>
      </c>
      <c r="U93" s="1200">
        <f t="shared" si="57"/>
        <v>1874.6000000000001</v>
      </c>
      <c r="W93" s="1206" t="s">
        <v>416</v>
      </c>
      <c r="X93" s="1206" t="s">
        <v>414</v>
      </c>
      <c r="Y93" s="1200">
        <f t="shared" si="62"/>
        <v>1864.3</v>
      </c>
      <c r="Z93" s="1200">
        <f t="shared" si="58"/>
        <v>3677.1</v>
      </c>
      <c r="AA93" s="1200">
        <f t="shared" si="58"/>
        <v>1668.6000000000001</v>
      </c>
      <c r="AB93" s="1200">
        <f t="shared" si="58"/>
        <v>1668.6000000000001</v>
      </c>
      <c r="AD93" s="1206" t="s">
        <v>416</v>
      </c>
      <c r="AE93" s="1206" t="s">
        <v>414</v>
      </c>
      <c r="AF93" s="1200">
        <f t="shared" si="63"/>
        <v>2132.1</v>
      </c>
      <c r="AG93" s="1200">
        <f t="shared" si="59"/>
        <v>3677.1</v>
      </c>
      <c r="AH93" s="1200">
        <f t="shared" si="59"/>
        <v>2008.5</v>
      </c>
      <c r="AI93" s="1200">
        <f t="shared" si="59"/>
        <v>2008.5</v>
      </c>
      <c r="AK93" s="1206" t="s">
        <v>416</v>
      </c>
      <c r="AL93" s="1206" t="s">
        <v>414</v>
      </c>
      <c r="AM93" s="1200">
        <f t="shared" si="64"/>
        <v>1895.2</v>
      </c>
      <c r="AN93" s="1200">
        <f t="shared" si="60"/>
        <v>3677.1</v>
      </c>
      <c r="AO93" s="1200">
        <f t="shared" si="60"/>
        <v>1792.2</v>
      </c>
      <c r="AP93" s="1200">
        <f t="shared" si="60"/>
        <v>1792.2</v>
      </c>
      <c r="AQ93" s="1213"/>
      <c r="AS93" s="1212"/>
      <c r="AT93" s="1206" t="s">
        <v>416</v>
      </c>
      <c r="AU93" s="1206" t="s">
        <v>414</v>
      </c>
      <c r="AV93" s="1201">
        <v>2100</v>
      </c>
      <c r="AW93" s="1201">
        <v>3570</v>
      </c>
      <c r="AX93" s="1201">
        <v>1820</v>
      </c>
      <c r="AY93" s="1201">
        <v>1820</v>
      </c>
      <c r="BA93" s="1206" t="s">
        <v>416</v>
      </c>
      <c r="BB93" s="1206" t="s">
        <v>414</v>
      </c>
      <c r="BC93" s="1201">
        <v>1810</v>
      </c>
      <c r="BD93" s="1201">
        <v>3570</v>
      </c>
      <c r="BE93" s="1201">
        <v>1620</v>
      </c>
      <c r="BF93" s="1201">
        <v>1620</v>
      </c>
      <c r="BH93" s="1206" t="s">
        <v>416</v>
      </c>
      <c r="BI93" s="1206" t="s">
        <v>414</v>
      </c>
      <c r="BJ93" s="1201">
        <v>2070</v>
      </c>
      <c r="BK93" s="1201">
        <v>3570</v>
      </c>
      <c r="BL93" s="1201">
        <v>1950</v>
      </c>
      <c r="BM93" s="1201">
        <v>1950</v>
      </c>
      <c r="BO93" s="1206" t="s">
        <v>416</v>
      </c>
      <c r="BP93" s="1206" t="s">
        <v>414</v>
      </c>
      <c r="BQ93" s="1201">
        <v>1840</v>
      </c>
      <c r="BR93" s="1201">
        <v>3570</v>
      </c>
      <c r="BS93" s="1201">
        <v>1740</v>
      </c>
      <c r="BT93" s="1201">
        <v>1740</v>
      </c>
      <c r="BU93" s="1213"/>
    </row>
    <row r="94" spans="15:73">
      <c r="O94" s="1212"/>
      <c r="P94" s="1206" t="s">
        <v>415</v>
      </c>
      <c r="Q94" s="1206" t="s">
        <v>1307</v>
      </c>
      <c r="R94" s="1201">
        <v>23300</v>
      </c>
      <c r="S94" s="1201">
        <v>20500</v>
      </c>
      <c r="T94" s="1201">
        <v>23100</v>
      </c>
      <c r="U94" s="1201">
        <v>23100</v>
      </c>
      <c r="W94" s="1206" t="s">
        <v>415</v>
      </c>
      <c r="X94" s="1206" t="s">
        <v>1307</v>
      </c>
      <c r="Y94" s="1201">
        <v>23300</v>
      </c>
      <c r="Z94" s="1201">
        <v>20500</v>
      </c>
      <c r="AA94" s="1201">
        <v>23100</v>
      </c>
      <c r="AB94" s="1201">
        <v>23100</v>
      </c>
      <c r="AD94" s="1206" t="s">
        <v>415</v>
      </c>
      <c r="AE94" s="1206" t="s">
        <v>1307</v>
      </c>
      <c r="AF94" s="1201">
        <v>23300</v>
      </c>
      <c r="AG94" s="1201">
        <v>20500</v>
      </c>
      <c r="AH94" s="1201">
        <v>23100</v>
      </c>
      <c r="AI94" s="1201">
        <v>23100</v>
      </c>
      <c r="AK94" s="1206" t="s">
        <v>415</v>
      </c>
      <c r="AL94" s="1206" t="s">
        <v>1307</v>
      </c>
      <c r="AM94" s="1201">
        <v>23300</v>
      </c>
      <c r="AN94" s="1201">
        <v>20500</v>
      </c>
      <c r="AO94" s="1201">
        <v>23100</v>
      </c>
      <c r="AP94" s="1201">
        <v>23100</v>
      </c>
      <c r="AQ94" s="1213"/>
      <c r="AS94" s="1212"/>
      <c r="AT94" s="1206" t="s">
        <v>415</v>
      </c>
      <c r="AU94" s="1206" t="s">
        <v>1307</v>
      </c>
      <c r="AV94" s="1201">
        <v>23300</v>
      </c>
      <c r="AW94" s="1201">
        <v>20500</v>
      </c>
      <c r="AX94" s="1201">
        <v>23100</v>
      </c>
      <c r="AY94" s="1201">
        <v>23100</v>
      </c>
      <c r="BA94" s="1206" t="s">
        <v>415</v>
      </c>
      <c r="BB94" s="1206" t="s">
        <v>1307</v>
      </c>
      <c r="BC94" s="1201">
        <v>23300</v>
      </c>
      <c r="BD94" s="1201">
        <v>20500</v>
      </c>
      <c r="BE94" s="1201">
        <v>23100</v>
      </c>
      <c r="BF94" s="1201">
        <v>23100</v>
      </c>
      <c r="BH94" s="1206" t="s">
        <v>415</v>
      </c>
      <c r="BI94" s="1206" t="s">
        <v>1307</v>
      </c>
      <c r="BJ94" s="1201">
        <v>23300</v>
      </c>
      <c r="BK94" s="1201">
        <v>20500</v>
      </c>
      <c r="BL94" s="1201">
        <v>23100</v>
      </c>
      <c r="BM94" s="1201">
        <v>23100</v>
      </c>
      <c r="BO94" s="1206" t="s">
        <v>415</v>
      </c>
      <c r="BP94" s="1206" t="s">
        <v>1307</v>
      </c>
      <c r="BQ94" s="1201">
        <v>23300</v>
      </c>
      <c r="BR94" s="1201">
        <v>20500</v>
      </c>
      <c r="BS94" s="1201">
        <v>23100</v>
      </c>
      <c r="BT94" s="1201">
        <v>23100</v>
      </c>
      <c r="BU94" s="1213"/>
    </row>
    <row r="95" spans="15:73">
      <c r="O95" s="1212"/>
      <c r="P95" s="1852" t="s">
        <v>408</v>
      </c>
      <c r="Q95" s="1845" t="s">
        <v>1308</v>
      </c>
      <c r="R95" s="1204">
        <v>111640</v>
      </c>
      <c r="S95" s="1204">
        <v>163860</v>
      </c>
      <c r="T95" s="1204">
        <v>110370</v>
      </c>
      <c r="U95" s="1204">
        <v>110370</v>
      </c>
      <c r="W95" s="1852" t="s">
        <v>408</v>
      </c>
      <c r="X95" s="1845" t="s">
        <v>1308</v>
      </c>
      <c r="Y95" s="1204">
        <v>96400</v>
      </c>
      <c r="Z95" s="1204">
        <v>163860</v>
      </c>
      <c r="AA95" s="1204">
        <v>98230</v>
      </c>
      <c r="AB95" s="1204">
        <v>98230</v>
      </c>
      <c r="AD95" s="1852" t="s">
        <v>408</v>
      </c>
      <c r="AE95" s="1845" t="s">
        <v>1308</v>
      </c>
      <c r="AF95" s="1204">
        <v>109800</v>
      </c>
      <c r="AG95" s="1204">
        <v>163900</v>
      </c>
      <c r="AH95" s="1204">
        <v>118370</v>
      </c>
      <c r="AI95" s="1204">
        <v>118370</v>
      </c>
      <c r="AK95" s="1852" t="s">
        <v>408</v>
      </c>
      <c r="AL95" s="1845" t="s">
        <v>1308</v>
      </c>
      <c r="AM95" s="1204">
        <v>97720</v>
      </c>
      <c r="AN95" s="1204">
        <v>163900</v>
      </c>
      <c r="AO95" s="1204">
        <v>105350</v>
      </c>
      <c r="AP95" s="1204">
        <v>105350</v>
      </c>
      <c r="AQ95" s="1213"/>
      <c r="AS95" s="1212"/>
      <c r="AT95" s="1852" t="s">
        <v>408</v>
      </c>
      <c r="AU95" s="1845" t="s">
        <v>1308</v>
      </c>
      <c r="AV95" s="1204">
        <v>111640</v>
      </c>
      <c r="AW95" s="1204">
        <v>163860</v>
      </c>
      <c r="AX95" s="1204">
        <v>110370</v>
      </c>
      <c r="AY95" s="1204">
        <v>110370</v>
      </c>
      <c r="BA95" s="1852" t="s">
        <v>408</v>
      </c>
      <c r="BB95" s="1845" t="s">
        <v>1308</v>
      </c>
      <c r="BC95" s="1204">
        <v>96400</v>
      </c>
      <c r="BD95" s="1204">
        <v>163860</v>
      </c>
      <c r="BE95" s="1204">
        <v>98230</v>
      </c>
      <c r="BF95" s="1204">
        <v>98230</v>
      </c>
      <c r="BH95" s="1852" t="s">
        <v>408</v>
      </c>
      <c r="BI95" s="1845" t="s">
        <v>1308</v>
      </c>
      <c r="BJ95" s="1204">
        <v>109800</v>
      </c>
      <c r="BK95" s="1204">
        <v>163900</v>
      </c>
      <c r="BL95" s="1204">
        <v>118370</v>
      </c>
      <c r="BM95" s="1204">
        <v>118370</v>
      </c>
      <c r="BO95" s="1852" t="s">
        <v>408</v>
      </c>
      <c r="BP95" s="1845" t="s">
        <v>1308</v>
      </c>
      <c r="BQ95" s="1204">
        <v>97720</v>
      </c>
      <c r="BR95" s="1204">
        <v>163900</v>
      </c>
      <c r="BS95" s="1204">
        <v>105350</v>
      </c>
      <c r="BT95" s="1204">
        <v>105350</v>
      </c>
      <c r="BU95" s="1213"/>
    </row>
    <row r="96" spans="15:73">
      <c r="O96" s="1212"/>
      <c r="P96" s="1853"/>
      <c r="Q96" s="1846"/>
      <c r="R96" s="1205">
        <f>R95/100000</f>
        <v>1.1164000000000001</v>
      </c>
      <c r="S96" s="1205">
        <f t="shared" ref="S96:U96" si="65">S95/100000</f>
        <v>1.6386000000000001</v>
      </c>
      <c r="T96" s="1205">
        <f t="shared" si="65"/>
        <v>1.1036999999999999</v>
      </c>
      <c r="U96" s="1205">
        <f t="shared" si="65"/>
        <v>1.1036999999999999</v>
      </c>
      <c r="W96" s="1853"/>
      <c r="X96" s="1846"/>
      <c r="Y96" s="1205">
        <f>Y95/100000</f>
        <v>0.96399999999999997</v>
      </c>
      <c r="Z96" s="1205">
        <f t="shared" ref="Z96:AB96" si="66">Z95/100000</f>
        <v>1.6386000000000001</v>
      </c>
      <c r="AA96" s="1205">
        <f t="shared" si="66"/>
        <v>0.98229999999999995</v>
      </c>
      <c r="AB96" s="1205">
        <f t="shared" si="66"/>
        <v>0.98229999999999995</v>
      </c>
      <c r="AD96" s="1853"/>
      <c r="AE96" s="1846"/>
      <c r="AF96" s="1205">
        <f>AF95/100000</f>
        <v>1.0980000000000001</v>
      </c>
      <c r="AG96" s="1205">
        <f t="shared" ref="AG96:AI96" si="67">AG95/100000</f>
        <v>1.639</v>
      </c>
      <c r="AH96" s="1205">
        <f t="shared" si="67"/>
        <v>1.1837</v>
      </c>
      <c r="AI96" s="1205">
        <f t="shared" si="67"/>
        <v>1.1837</v>
      </c>
      <c r="AK96" s="1853"/>
      <c r="AL96" s="1846"/>
      <c r="AM96" s="1205">
        <f>AM95/100000</f>
        <v>0.97719999999999996</v>
      </c>
      <c r="AN96" s="1205">
        <f t="shared" ref="AN96:AP96" si="68">AN95/100000</f>
        <v>1.639</v>
      </c>
      <c r="AO96" s="1205">
        <f t="shared" si="68"/>
        <v>1.0535000000000001</v>
      </c>
      <c r="AP96" s="1205">
        <f t="shared" si="68"/>
        <v>1.0535000000000001</v>
      </c>
      <c r="AQ96" s="1213"/>
      <c r="AS96" s="1212"/>
      <c r="AT96" s="1853"/>
      <c r="AU96" s="1846"/>
      <c r="AV96" s="1205">
        <f>AV95/100000</f>
        <v>1.1164000000000001</v>
      </c>
      <c r="AW96" s="1205">
        <f t="shared" ref="AW96:AY96" si="69">AW95/100000</f>
        <v>1.6386000000000001</v>
      </c>
      <c r="AX96" s="1205">
        <f t="shared" si="69"/>
        <v>1.1036999999999999</v>
      </c>
      <c r="AY96" s="1205">
        <f t="shared" si="69"/>
        <v>1.1036999999999999</v>
      </c>
      <c r="BA96" s="1853"/>
      <c r="BB96" s="1846"/>
      <c r="BC96" s="1205">
        <f>BC95/100000</f>
        <v>0.96399999999999997</v>
      </c>
      <c r="BD96" s="1205">
        <f t="shared" ref="BD96:BF96" si="70">BD95/100000</f>
        <v>1.6386000000000001</v>
      </c>
      <c r="BE96" s="1205">
        <f t="shared" si="70"/>
        <v>0.98229999999999995</v>
      </c>
      <c r="BF96" s="1205">
        <f t="shared" si="70"/>
        <v>0.98229999999999995</v>
      </c>
      <c r="BH96" s="1853"/>
      <c r="BI96" s="1846"/>
      <c r="BJ96" s="1205">
        <f>BJ95/100000</f>
        <v>1.0980000000000001</v>
      </c>
      <c r="BK96" s="1205">
        <f t="shared" ref="BK96:BM96" si="71">BK95/100000</f>
        <v>1.639</v>
      </c>
      <c r="BL96" s="1205">
        <f t="shared" si="71"/>
        <v>1.1837</v>
      </c>
      <c r="BM96" s="1205">
        <f t="shared" si="71"/>
        <v>1.1837</v>
      </c>
      <c r="BO96" s="1853"/>
      <c r="BP96" s="1846"/>
      <c r="BQ96" s="1205">
        <f>BQ95/100000</f>
        <v>0.97719999999999996</v>
      </c>
      <c r="BR96" s="1205">
        <f t="shared" ref="BR96:BT96" si="72">BR95/100000</f>
        <v>1.639</v>
      </c>
      <c r="BS96" s="1205">
        <f t="shared" si="72"/>
        <v>1.0535000000000001</v>
      </c>
      <c r="BT96" s="1205">
        <f t="shared" si="72"/>
        <v>1.0535000000000001</v>
      </c>
      <c r="BU96" s="1213"/>
    </row>
    <row r="97" spans="15:73">
      <c r="O97" s="1212"/>
      <c r="P97" s="1216"/>
      <c r="R97" s="1217">
        <f t="shared" ref="R97:AA97" si="73">R85+R86+R87+R92+R93</f>
        <v>646273.5</v>
      </c>
      <c r="S97" s="1217">
        <f t="shared" si="73"/>
        <v>690316.29999999993</v>
      </c>
      <c r="T97" s="1217">
        <f t="shared" si="73"/>
        <v>690378.1</v>
      </c>
      <c r="U97" s="1217">
        <f t="shared" si="73"/>
        <v>690378.1</v>
      </c>
      <c r="V97" s="1217"/>
      <c r="W97" s="1217"/>
      <c r="X97" s="1217"/>
      <c r="Y97" s="1217">
        <f t="shared" si="73"/>
        <v>572185.60000000009</v>
      </c>
      <c r="Z97" s="1217">
        <f t="shared" si="73"/>
        <v>690316.29999999993</v>
      </c>
      <c r="AA97" s="1217">
        <f t="shared" si="73"/>
        <v>629505.1</v>
      </c>
      <c r="AB97" s="1217">
        <f>AB85+AB86+AB87+AB92+AB93</f>
        <v>629505.1</v>
      </c>
      <c r="AC97" s="1217"/>
      <c r="AD97" s="1217"/>
      <c r="AE97" s="1217"/>
      <c r="AF97" s="1217">
        <f t="shared" ref="AF97:AP97" si="74">AF85+AF86+AF87+AF92+AF93</f>
        <v>635520.30000000005</v>
      </c>
      <c r="AG97" s="1217">
        <f t="shared" si="74"/>
        <v>690336.9</v>
      </c>
      <c r="AH97" s="1217">
        <f t="shared" si="74"/>
        <v>740240.4</v>
      </c>
      <c r="AI97" s="1217">
        <f t="shared" si="74"/>
        <v>740240.4</v>
      </c>
      <c r="AJ97" s="1217"/>
      <c r="AK97" s="1217"/>
      <c r="AL97" s="1217"/>
      <c r="AM97" s="1217">
        <f t="shared" si="74"/>
        <v>579972.4</v>
      </c>
      <c r="AN97" s="1217">
        <f t="shared" si="74"/>
        <v>690336.9</v>
      </c>
      <c r="AO97" s="1217">
        <f t="shared" si="74"/>
        <v>674969.3</v>
      </c>
      <c r="AP97" s="1217">
        <f t="shared" si="74"/>
        <v>674969.3</v>
      </c>
      <c r="AQ97" s="1213"/>
      <c r="AS97" s="1212"/>
      <c r="AT97" s="1216"/>
      <c r="AV97" s="1217">
        <f t="shared" ref="AV97:AY97" si="75">AV85+AV86+AV87+AV92+AV93</f>
        <v>627450</v>
      </c>
      <c r="AW97" s="1217">
        <f t="shared" si="75"/>
        <v>670210</v>
      </c>
      <c r="AX97" s="1217">
        <f t="shared" si="75"/>
        <v>670270</v>
      </c>
      <c r="AY97" s="1217">
        <f t="shared" si="75"/>
        <v>670270</v>
      </c>
      <c r="AZ97" s="1217"/>
      <c r="BA97" s="1217"/>
      <c r="BB97" s="1217"/>
      <c r="BC97" s="1217">
        <f t="shared" ref="BC97:BE97" si="76">BC85+BC86+BC87+BC92+BC93</f>
        <v>555520</v>
      </c>
      <c r="BD97" s="1217">
        <f t="shared" si="76"/>
        <v>670210</v>
      </c>
      <c r="BE97" s="1217">
        <f t="shared" si="76"/>
        <v>611170</v>
      </c>
      <c r="BF97" s="1217">
        <f>BF85+BF86+BF87+BF92+BF93</f>
        <v>611170</v>
      </c>
      <c r="BG97" s="1217"/>
      <c r="BH97" s="1217"/>
      <c r="BI97" s="1217"/>
      <c r="BJ97" s="1217">
        <f t="shared" ref="BJ97:BM97" si="77">BJ85+BJ86+BJ87+BJ92+BJ93</f>
        <v>617010</v>
      </c>
      <c r="BK97" s="1217">
        <f t="shared" si="77"/>
        <v>670230</v>
      </c>
      <c r="BL97" s="1217">
        <f t="shared" si="77"/>
        <v>718680</v>
      </c>
      <c r="BM97" s="1217">
        <f t="shared" si="77"/>
        <v>718680</v>
      </c>
      <c r="BN97" s="1217"/>
      <c r="BO97" s="1217"/>
      <c r="BP97" s="1217"/>
      <c r="BQ97" s="1217">
        <f t="shared" ref="BQ97:BT97" si="78">BQ85+BQ86+BQ87+BQ92+BQ93</f>
        <v>563080</v>
      </c>
      <c r="BR97" s="1217">
        <f t="shared" si="78"/>
        <v>670230</v>
      </c>
      <c r="BS97" s="1217">
        <f t="shared" si="78"/>
        <v>655310</v>
      </c>
      <c r="BT97" s="1217">
        <f t="shared" si="78"/>
        <v>655310</v>
      </c>
      <c r="BU97" s="1213"/>
    </row>
    <row r="98" spans="15:73">
      <c r="O98" s="1212"/>
      <c r="AQ98" s="1213"/>
      <c r="AS98" s="1212"/>
      <c r="BU98" s="1213"/>
    </row>
    <row r="99" spans="15:73">
      <c r="O99" s="1212"/>
      <c r="P99" s="1842" t="s">
        <v>1296</v>
      </c>
      <c r="Q99" s="1842"/>
      <c r="W99" s="1842" t="s">
        <v>1469</v>
      </c>
      <c r="X99" s="1842"/>
      <c r="AD99" s="1842" t="s">
        <v>1311</v>
      </c>
      <c r="AE99" s="1842"/>
      <c r="AK99" s="1842" t="s">
        <v>1470</v>
      </c>
      <c r="AL99" s="1842"/>
      <c r="AQ99" s="1213"/>
      <c r="AS99" s="1212"/>
      <c r="AT99" s="1842" t="s">
        <v>1296</v>
      </c>
      <c r="AU99" s="1842"/>
      <c r="BA99" s="1842" t="s">
        <v>1469</v>
      </c>
      <c r="BB99" s="1842"/>
      <c r="BH99" s="1842" t="s">
        <v>1311</v>
      </c>
      <c r="BI99" s="1842"/>
      <c r="BO99" s="1842" t="s">
        <v>1470</v>
      </c>
      <c r="BP99" s="1842"/>
      <c r="BU99" s="1213"/>
    </row>
    <row r="100" spans="15:73">
      <c r="O100" s="1212"/>
      <c r="P100" s="1843" t="s">
        <v>1297</v>
      </c>
      <c r="Q100" s="1844"/>
      <c r="R100" s="1214"/>
      <c r="S100" s="1214"/>
      <c r="T100" s="1214"/>
      <c r="U100" s="1215" t="s">
        <v>1298</v>
      </c>
      <c r="W100" s="1843" t="s">
        <v>1297</v>
      </c>
      <c r="X100" s="1844"/>
      <c r="Y100" s="1214"/>
      <c r="Z100" s="1214"/>
      <c r="AA100" s="1214"/>
      <c r="AB100" s="1215" t="s">
        <v>1298</v>
      </c>
      <c r="AD100" s="1843" t="s">
        <v>1297</v>
      </c>
      <c r="AE100" s="1844"/>
      <c r="AF100" s="1214"/>
      <c r="AG100" s="1214"/>
      <c r="AH100" s="1214"/>
      <c r="AI100" s="1215" t="s">
        <v>1298</v>
      </c>
      <c r="AK100" s="1843" t="s">
        <v>1297</v>
      </c>
      <c r="AL100" s="1844"/>
      <c r="AM100" s="1214"/>
      <c r="AN100" s="1214"/>
      <c r="AO100" s="1214"/>
      <c r="AP100" s="1215" t="s">
        <v>1298</v>
      </c>
      <c r="AQ100" s="1213"/>
      <c r="AS100" s="1212"/>
      <c r="AT100" s="1843" t="s">
        <v>1297</v>
      </c>
      <c r="AU100" s="1844"/>
      <c r="AV100" s="1214"/>
      <c r="AW100" s="1214"/>
      <c r="AX100" s="1214"/>
      <c r="AY100" s="1215" t="s">
        <v>1298</v>
      </c>
      <c r="BA100" s="1843" t="s">
        <v>1297</v>
      </c>
      <c r="BB100" s="1844"/>
      <c r="BC100" s="1214"/>
      <c r="BD100" s="1214"/>
      <c r="BE100" s="1214"/>
      <c r="BF100" s="1215" t="s">
        <v>1298</v>
      </c>
      <c r="BH100" s="1843" t="s">
        <v>1297</v>
      </c>
      <c r="BI100" s="1844"/>
      <c r="BJ100" s="1214"/>
      <c r="BK100" s="1214"/>
      <c r="BL100" s="1214"/>
      <c r="BM100" s="1215" t="s">
        <v>1298</v>
      </c>
      <c r="BO100" s="1843" t="s">
        <v>1297</v>
      </c>
      <c r="BP100" s="1844"/>
      <c r="BQ100" s="1214"/>
      <c r="BR100" s="1214"/>
      <c r="BS100" s="1214"/>
      <c r="BT100" s="1215" t="s">
        <v>1298</v>
      </c>
      <c r="BU100" s="1213"/>
    </row>
    <row r="101" spans="15:73">
      <c r="O101" s="1212"/>
      <c r="P101" s="1198" t="s">
        <v>409</v>
      </c>
      <c r="Q101" s="1198" t="s">
        <v>410</v>
      </c>
      <c r="R101" s="1198" t="s">
        <v>375</v>
      </c>
      <c r="S101" s="1198" t="s">
        <v>411</v>
      </c>
      <c r="T101" s="1198" t="s">
        <v>1299</v>
      </c>
      <c r="U101" s="1198" t="s">
        <v>1300</v>
      </c>
      <c r="W101" s="1198" t="s">
        <v>409</v>
      </c>
      <c r="X101" s="1198" t="s">
        <v>410</v>
      </c>
      <c r="Y101" s="1198" t="s">
        <v>375</v>
      </c>
      <c r="Z101" s="1198" t="s">
        <v>411</v>
      </c>
      <c r="AA101" s="1198" t="s">
        <v>1299</v>
      </c>
      <c r="AB101" s="1198" t="s">
        <v>1300</v>
      </c>
      <c r="AD101" s="1198" t="s">
        <v>409</v>
      </c>
      <c r="AE101" s="1198" t="s">
        <v>410</v>
      </c>
      <c r="AF101" s="1198" t="s">
        <v>375</v>
      </c>
      <c r="AG101" s="1198" t="s">
        <v>411</v>
      </c>
      <c r="AH101" s="1198" t="s">
        <v>1299</v>
      </c>
      <c r="AI101" s="1198" t="s">
        <v>1300</v>
      </c>
      <c r="AK101" s="1198" t="s">
        <v>409</v>
      </c>
      <c r="AL101" s="1198" t="s">
        <v>410</v>
      </c>
      <c r="AM101" s="1198" t="s">
        <v>375</v>
      </c>
      <c r="AN101" s="1198" t="s">
        <v>411</v>
      </c>
      <c r="AO101" s="1198" t="s">
        <v>1299</v>
      </c>
      <c r="AP101" s="1198" t="s">
        <v>1300</v>
      </c>
      <c r="AQ101" s="1213"/>
      <c r="AS101" s="1212"/>
      <c r="AT101" s="1198" t="s">
        <v>409</v>
      </c>
      <c r="AU101" s="1198" t="s">
        <v>410</v>
      </c>
      <c r="AV101" s="1198" t="s">
        <v>375</v>
      </c>
      <c r="AW101" s="1198" t="s">
        <v>411</v>
      </c>
      <c r="AX101" s="1198" t="s">
        <v>1299</v>
      </c>
      <c r="AY101" s="1198" t="s">
        <v>1300</v>
      </c>
      <c r="BA101" s="1198" t="s">
        <v>409</v>
      </c>
      <c r="BB101" s="1198" t="s">
        <v>410</v>
      </c>
      <c r="BC101" s="1198" t="s">
        <v>375</v>
      </c>
      <c r="BD101" s="1198" t="s">
        <v>411</v>
      </c>
      <c r="BE101" s="1198" t="s">
        <v>1299</v>
      </c>
      <c r="BF101" s="1198" t="s">
        <v>1300</v>
      </c>
      <c r="BH101" s="1198" t="s">
        <v>409</v>
      </c>
      <c r="BI101" s="1198" t="s">
        <v>410</v>
      </c>
      <c r="BJ101" s="1198" t="s">
        <v>375</v>
      </c>
      <c r="BK101" s="1198" t="s">
        <v>411</v>
      </c>
      <c r="BL101" s="1198" t="s">
        <v>1299</v>
      </c>
      <c r="BM101" s="1198" t="s">
        <v>1300</v>
      </c>
      <c r="BO101" s="1198" t="s">
        <v>409</v>
      </c>
      <c r="BP101" s="1198" t="s">
        <v>410</v>
      </c>
      <c r="BQ101" s="1198" t="s">
        <v>375</v>
      </c>
      <c r="BR101" s="1198" t="s">
        <v>411</v>
      </c>
      <c r="BS101" s="1198" t="s">
        <v>1299</v>
      </c>
      <c r="BT101" s="1198" t="s">
        <v>1300</v>
      </c>
      <c r="BU101" s="1213"/>
    </row>
    <row r="102" spans="15:73">
      <c r="O102" s="1212"/>
      <c r="P102" s="1206" t="s">
        <v>1301</v>
      </c>
      <c r="Q102" s="1206" t="s">
        <v>1302</v>
      </c>
      <c r="R102" s="1200">
        <f>AV102*1.03</f>
        <v>220378.80000000002</v>
      </c>
      <c r="S102" s="1200">
        <f t="shared" ref="S102:U110" si="79">AW102*1.03</f>
        <v>285495.40000000002</v>
      </c>
      <c r="T102" s="1200">
        <f t="shared" si="79"/>
        <v>227475.5</v>
      </c>
      <c r="U102" s="1200">
        <f t="shared" si="79"/>
        <v>227475.5</v>
      </c>
      <c r="W102" s="1206" t="s">
        <v>1301</v>
      </c>
      <c r="X102" s="1206" t="s">
        <v>1302</v>
      </c>
      <c r="Y102" s="1200">
        <f>BC102*1.03</f>
        <v>213797.1</v>
      </c>
      <c r="Z102" s="1200">
        <f t="shared" ref="Z102:AB110" si="80">BD102*1.03</f>
        <v>285495.40000000002</v>
      </c>
      <c r="AA102" s="1200">
        <f t="shared" si="80"/>
        <v>227475.5</v>
      </c>
      <c r="AB102" s="1200">
        <f t="shared" si="80"/>
        <v>227475.5</v>
      </c>
      <c r="AD102" s="1206" t="s">
        <v>1301</v>
      </c>
      <c r="AE102" s="1206" t="s">
        <v>1302</v>
      </c>
      <c r="AF102" s="1200">
        <f>BJ102*1.03</f>
        <v>216691.4</v>
      </c>
      <c r="AG102" s="1200">
        <f t="shared" ref="AG102:AI102" si="81">BK102*1.03</f>
        <v>285505.7</v>
      </c>
      <c r="AH102" s="1200">
        <f t="shared" si="81"/>
        <v>243893.7</v>
      </c>
      <c r="AI102" s="1200">
        <f t="shared" si="81"/>
        <v>243893.7</v>
      </c>
      <c r="AK102" s="1206" t="s">
        <v>1301</v>
      </c>
      <c r="AL102" s="1206" t="s">
        <v>1302</v>
      </c>
      <c r="AM102" s="1200">
        <f>BQ102*1.03</f>
        <v>216691.4</v>
      </c>
      <c r="AN102" s="1200">
        <f t="shared" ref="AN102:AP110" si="82">BR102*1.03</f>
        <v>285505.7</v>
      </c>
      <c r="AO102" s="1200">
        <f t="shared" si="82"/>
        <v>243893.7</v>
      </c>
      <c r="AP102" s="1200">
        <f t="shared" si="82"/>
        <v>243893.7</v>
      </c>
      <c r="AQ102" s="1213"/>
      <c r="AS102" s="1212"/>
      <c r="AT102" s="1206" t="s">
        <v>1301</v>
      </c>
      <c r="AU102" s="1206" t="s">
        <v>1302</v>
      </c>
      <c r="AV102" s="1200">
        <v>213960</v>
      </c>
      <c r="AW102" s="1200">
        <v>277180</v>
      </c>
      <c r="AX102" s="1200">
        <v>220850</v>
      </c>
      <c r="AY102" s="1200">
        <v>220850</v>
      </c>
      <c r="BA102" s="1206" t="s">
        <v>1301</v>
      </c>
      <c r="BB102" s="1206" t="s">
        <v>1302</v>
      </c>
      <c r="BC102" s="1200">
        <v>207570</v>
      </c>
      <c r="BD102" s="1200">
        <v>277180</v>
      </c>
      <c r="BE102" s="1200">
        <v>220850</v>
      </c>
      <c r="BF102" s="1200">
        <v>220850</v>
      </c>
      <c r="BH102" s="1206" t="s">
        <v>1301</v>
      </c>
      <c r="BI102" s="1206" t="s">
        <v>1302</v>
      </c>
      <c r="BJ102" s="1200">
        <v>210380</v>
      </c>
      <c r="BK102" s="1200">
        <v>277190</v>
      </c>
      <c r="BL102" s="1200">
        <v>236790</v>
      </c>
      <c r="BM102" s="1200">
        <v>236790</v>
      </c>
      <c r="BO102" s="1206" t="s">
        <v>1301</v>
      </c>
      <c r="BP102" s="1206" t="s">
        <v>1302</v>
      </c>
      <c r="BQ102" s="1200">
        <v>210380</v>
      </c>
      <c r="BR102" s="1200">
        <v>277190</v>
      </c>
      <c r="BS102" s="1200">
        <v>236790</v>
      </c>
      <c r="BT102" s="1200">
        <v>236790</v>
      </c>
      <c r="BU102" s="1213"/>
    </row>
    <row r="103" spans="15:73">
      <c r="O103" s="1212"/>
      <c r="P103" s="1206" t="s">
        <v>1303</v>
      </c>
      <c r="Q103" s="1206" t="s">
        <v>412</v>
      </c>
      <c r="R103" s="1200">
        <f t="shared" ref="R103:R110" si="83">AV103*1.03</f>
        <v>292890.8</v>
      </c>
      <c r="S103" s="1200">
        <f t="shared" si="79"/>
        <v>239433.80000000002</v>
      </c>
      <c r="T103" s="1200">
        <f t="shared" si="79"/>
        <v>292674.5</v>
      </c>
      <c r="U103" s="1200">
        <f t="shared" si="79"/>
        <v>292674.5</v>
      </c>
      <c r="W103" s="1206" t="s">
        <v>1303</v>
      </c>
      <c r="X103" s="1206" t="s">
        <v>412</v>
      </c>
      <c r="Y103" s="1200">
        <f t="shared" ref="Y103:Y110" si="84">BC103*1.03</f>
        <v>252906.2</v>
      </c>
      <c r="Z103" s="1200">
        <f t="shared" si="80"/>
        <v>239433.80000000002</v>
      </c>
      <c r="AA103" s="1200">
        <f t="shared" si="80"/>
        <v>260487</v>
      </c>
      <c r="AB103" s="1200">
        <f t="shared" si="80"/>
        <v>260487</v>
      </c>
      <c r="AD103" s="1206" t="s">
        <v>1303</v>
      </c>
      <c r="AE103" s="1206" t="s">
        <v>412</v>
      </c>
      <c r="AF103" s="1200">
        <f t="shared" ref="AF103:AF110" si="85">BJ103*1.03</f>
        <v>288018.90000000002</v>
      </c>
      <c r="AG103" s="1200">
        <f t="shared" ref="AG103:AG110" si="86">BK103*1.03</f>
        <v>239433.80000000002</v>
      </c>
      <c r="AH103" s="1200">
        <f t="shared" ref="AH103:AH110" si="87">BL103*1.03</f>
        <v>313820.40000000002</v>
      </c>
      <c r="AI103" s="1200">
        <f t="shared" ref="AI103:AI110" si="88">BM103*1.03</f>
        <v>313820.40000000002</v>
      </c>
      <c r="AK103" s="1206" t="s">
        <v>1303</v>
      </c>
      <c r="AL103" s="1206" t="s">
        <v>412</v>
      </c>
      <c r="AM103" s="1200">
        <f t="shared" ref="AM103:AM110" si="89">BQ103*1.03</f>
        <v>256346.4</v>
      </c>
      <c r="AN103" s="1200">
        <f t="shared" si="82"/>
        <v>239433.80000000002</v>
      </c>
      <c r="AO103" s="1200">
        <f t="shared" si="82"/>
        <v>279305.10000000003</v>
      </c>
      <c r="AP103" s="1200">
        <f t="shared" si="82"/>
        <v>279305.10000000003</v>
      </c>
      <c r="AQ103" s="1213"/>
      <c r="AS103" s="1212"/>
      <c r="AT103" s="1206" t="s">
        <v>1303</v>
      </c>
      <c r="AU103" s="1206" t="s">
        <v>412</v>
      </c>
      <c r="AV103" s="1200">
        <v>284360</v>
      </c>
      <c r="AW103" s="1200">
        <v>232460</v>
      </c>
      <c r="AX103" s="1200">
        <v>284150</v>
      </c>
      <c r="AY103" s="1200">
        <v>284150</v>
      </c>
      <c r="BA103" s="1206" t="s">
        <v>1303</v>
      </c>
      <c r="BB103" s="1206" t="s">
        <v>412</v>
      </c>
      <c r="BC103" s="1200">
        <v>245540</v>
      </c>
      <c r="BD103" s="1200">
        <v>232460</v>
      </c>
      <c r="BE103" s="1200">
        <v>252900</v>
      </c>
      <c r="BF103" s="1200">
        <v>252900</v>
      </c>
      <c r="BH103" s="1206" t="s">
        <v>1303</v>
      </c>
      <c r="BI103" s="1206" t="s">
        <v>412</v>
      </c>
      <c r="BJ103" s="1200">
        <v>279630</v>
      </c>
      <c r="BK103" s="1200">
        <v>232460</v>
      </c>
      <c r="BL103" s="1200">
        <v>304680</v>
      </c>
      <c r="BM103" s="1200">
        <v>304680</v>
      </c>
      <c r="BO103" s="1206" t="s">
        <v>1303</v>
      </c>
      <c r="BP103" s="1206" t="s">
        <v>412</v>
      </c>
      <c r="BQ103" s="1200">
        <v>248880</v>
      </c>
      <c r="BR103" s="1200">
        <v>232460</v>
      </c>
      <c r="BS103" s="1200">
        <v>271170</v>
      </c>
      <c r="BT103" s="1200">
        <v>271170</v>
      </c>
      <c r="BU103" s="1213"/>
    </row>
    <row r="104" spans="15:73">
      <c r="O104" s="1212"/>
      <c r="P104" s="1849" t="s">
        <v>255</v>
      </c>
      <c r="Q104" s="1206" t="s">
        <v>413</v>
      </c>
      <c r="R104" s="1200">
        <f t="shared" si="83"/>
        <v>454219.7</v>
      </c>
      <c r="S104" s="1200">
        <f t="shared" si="79"/>
        <v>518471.10000000003</v>
      </c>
      <c r="T104" s="1200">
        <f t="shared" si="79"/>
        <v>521406.60000000003</v>
      </c>
      <c r="U104" s="1200">
        <f t="shared" si="79"/>
        <v>521406.60000000003</v>
      </c>
      <c r="W104" s="1849" t="s">
        <v>255</v>
      </c>
      <c r="X104" s="1206" t="s">
        <v>413</v>
      </c>
      <c r="Y104" s="1200">
        <f t="shared" si="84"/>
        <v>392213.7</v>
      </c>
      <c r="Z104" s="1200">
        <f t="shared" si="80"/>
        <v>518471.10000000003</v>
      </c>
      <c r="AA104" s="1200">
        <f t="shared" si="80"/>
        <v>464066.5</v>
      </c>
      <c r="AB104" s="1200">
        <f t="shared" si="80"/>
        <v>464066.5</v>
      </c>
      <c r="AD104" s="1849" t="s">
        <v>255</v>
      </c>
      <c r="AE104" s="1206" t="s">
        <v>413</v>
      </c>
      <c r="AF104" s="1200">
        <f t="shared" si="85"/>
        <v>446649.2</v>
      </c>
      <c r="AG104" s="1200">
        <f t="shared" si="86"/>
        <v>518491.7</v>
      </c>
      <c r="AH104" s="1200">
        <f t="shared" si="87"/>
        <v>559053.1</v>
      </c>
      <c r="AI104" s="1200">
        <f t="shared" si="88"/>
        <v>559053.1</v>
      </c>
      <c r="AK104" s="1849" t="s">
        <v>255</v>
      </c>
      <c r="AL104" s="1206" t="s">
        <v>413</v>
      </c>
      <c r="AM104" s="1200">
        <f t="shared" si="89"/>
        <v>397538.8</v>
      </c>
      <c r="AN104" s="1200">
        <f t="shared" si="82"/>
        <v>518491.7</v>
      </c>
      <c r="AO104" s="1200">
        <f t="shared" si="82"/>
        <v>497572.4</v>
      </c>
      <c r="AP104" s="1200">
        <f t="shared" si="82"/>
        <v>497572.4</v>
      </c>
      <c r="AQ104" s="1213"/>
      <c r="AS104" s="1212"/>
      <c r="AT104" s="1849" t="s">
        <v>255</v>
      </c>
      <c r="AU104" s="1206" t="s">
        <v>413</v>
      </c>
      <c r="AV104" s="1200">
        <v>440990</v>
      </c>
      <c r="AW104" s="1200">
        <v>503370</v>
      </c>
      <c r="AX104" s="1200">
        <v>506220</v>
      </c>
      <c r="AY104" s="1200">
        <v>506220</v>
      </c>
      <c r="BA104" s="1849" t="s">
        <v>255</v>
      </c>
      <c r="BB104" s="1206" t="s">
        <v>413</v>
      </c>
      <c r="BC104" s="1200">
        <v>380790</v>
      </c>
      <c r="BD104" s="1200">
        <v>503370</v>
      </c>
      <c r="BE104" s="1200">
        <v>450550</v>
      </c>
      <c r="BF104" s="1200">
        <v>450550</v>
      </c>
      <c r="BH104" s="1849" t="s">
        <v>255</v>
      </c>
      <c r="BI104" s="1206" t="s">
        <v>413</v>
      </c>
      <c r="BJ104" s="1200">
        <v>433640</v>
      </c>
      <c r="BK104" s="1200">
        <v>503390</v>
      </c>
      <c r="BL104" s="1200">
        <v>542770</v>
      </c>
      <c r="BM104" s="1200">
        <v>542770</v>
      </c>
      <c r="BO104" s="1849" t="s">
        <v>255</v>
      </c>
      <c r="BP104" s="1206" t="s">
        <v>413</v>
      </c>
      <c r="BQ104" s="1200">
        <v>385960</v>
      </c>
      <c r="BR104" s="1200">
        <v>503390</v>
      </c>
      <c r="BS104" s="1200">
        <v>483080</v>
      </c>
      <c r="BT104" s="1200">
        <v>483080</v>
      </c>
      <c r="BU104" s="1213"/>
    </row>
    <row r="105" spans="15:73">
      <c r="O105" s="1212"/>
      <c r="P105" s="1850"/>
      <c r="Q105" s="1206" t="s">
        <v>414</v>
      </c>
      <c r="R105" s="1200">
        <f t="shared" si="83"/>
        <v>464746.3</v>
      </c>
      <c r="S105" s="1200">
        <f t="shared" si="79"/>
        <v>530480.9</v>
      </c>
      <c r="T105" s="1200">
        <f t="shared" si="79"/>
        <v>533478.20000000007</v>
      </c>
      <c r="U105" s="1200">
        <f t="shared" si="79"/>
        <v>533478.20000000007</v>
      </c>
      <c r="W105" s="1850"/>
      <c r="X105" s="1206" t="s">
        <v>414</v>
      </c>
      <c r="Y105" s="1200">
        <f t="shared" si="84"/>
        <v>401298.3</v>
      </c>
      <c r="Z105" s="1200">
        <f t="shared" si="80"/>
        <v>530480.9</v>
      </c>
      <c r="AA105" s="1200">
        <f t="shared" si="80"/>
        <v>474809.4</v>
      </c>
      <c r="AB105" s="1200">
        <f t="shared" si="80"/>
        <v>474809.4</v>
      </c>
      <c r="AD105" s="1850"/>
      <c r="AE105" s="1206" t="s">
        <v>414</v>
      </c>
      <c r="AF105" s="1200">
        <f t="shared" si="85"/>
        <v>457000.7</v>
      </c>
      <c r="AG105" s="1200">
        <f t="shared" si="86"/>
        <v>530501.5</v>
      </c>
      <c r="AH105" s="1200">
        <f t="shared" si="87"/>
        <v>572010.5</v>
      </c>
      <c r="AI105" s="1200">
        <f t="shared" si="88"/>
        <v>572010.5</v>
      </c>
      <c r="AK105" s="1850"/>
      <c r="AL105" s="1206" t="s">
        <v>414</v>
      </c>
      <c r="AM105" s="1200">
        <f t="shared" si="89"/>
        <v>406747</v>
      </c>
      <c r="AN105" s="1200">
        <f t="shared" si="82"/>
        <v>530501.5</v>
      </c>
      <c r="AO105" s="1200">
        <f t="shared" si="82"/>
        <v>509098.10000000003</v>
      </c>
      <c r="AP105" s="1200">
        <f t="shared" si="82"/>
        <v>509098.10000000003</v>
      </c>
      <c r="AQ105" s="1213"/>
      <c r="AS105" s="1212"/>
      <c r="AT105" s="1850"/>
      <c r="AU105" s="1206" t="s">
        <v>414</v>
      </c>
      <c r="AV105" s="1200">
        <v>451210</v>
      </c>
      <c r="AW105" s="1200">
        <v>515030</v>
      </c>
      <c r="AX105" s="1200">
        <v>517940</v>
      </c>
      <c r="AY105" s="1200">
        <v>517940</v>
      </c>
      <c r="BA105" s="1850"/>
      <c r="BB105" s="1206" t="s">
        <v>414</v>
      </c>
      <c r="BC105" s="1200">
        <v>389610</v>
      </c>
      <c r="BD105" s="1200">
        <v>515030</v>
      </c>
      <c r="BE105" s="1200">
        <v>460980</v>
      </c>
      <c r="BF105" s="1200">
        <v>460980</v>
      </c>
      <c r="BH105" s="1850"/>
      <c r="BI105" s="1206" t="s">
        <v>414</v>
      </c>
      <c r="BJ105" s="1200">
        <v>443690</v>
      </c>
      <c r="BK105" s="1200">
        <v>515050</v>
      </c>
      <c r="BL105" s="1200">
        <v>555350</v>
      </c>
      <c r="BM105" s="1200">
        <v>555350</v>
      </c>
      <c r="BO105" s="1850"/>
      <c r="BP105" s="1206" t="s">
        <v>414</v>
      </c>
      <c r="BQ105" s="1200">
        <v>394900</v>
      </c>
      <c r="BR105" s="1200">
        <v>515050</v>
      </c>
      <c r="BS105" s="1200">
        <v>494270</v>
      </c>
      <c r="BT105" s="1200">
        <v>494270</v>
      </c>
      <c r="BU105" s="1213"/>
    </row>
    <row r="106" spans="15:73">
      <c r="O106" s="1212"/>
      <c r="P106" s="1851"/>
      <c r="Q106" s="1206" t="s">
        <v>1304</v>
      </c>
      <c r="R106" s="1200">
        <f t="shared" si="83"/>
        <v>480721.60000000003</v>
      </c>
      <c r="S106" s="1200">
        <f t="shared" si="79"/>
        <v>548732.5</v>
      </c>
      <c r="T106" s="1200">
        <f t="shared" si="79"/>
        <v>551822.5</v>
      </c>
      <c r="U106" s="1200">
        <f t="shared" si="79"/>
        <v>551822.5</v>
      </c>
      <c r="W106" s="1851"/>
      <c r="X106" s="1206" t="s">
        <v>1304</v>
      </c>
      <c r="Y106" s="1200">
        <f t="shared" si="84"/>
        <v>415100.3</v>
      </c>
      <c r="Z106" s="1200">
        <f t="shared" si="80"/>
        <v>548732.5</v>
      </c>
      <c r="AA106" s="1200">
        <f t="shared" si="80"/>
        <v>491134.9</v>
      </c>
      <c r="AB106" s="1200">
        <f t="shared" si="80"/>
        <v>491134.9</v>
      </c>
      <c r="AD106" s="1851"/>
      <c r="AE106" s="1206" t="s">
        <v>1304</v>
      </c>
      <c r="AF106" s="1200">
        <f t="shared" si="85"/>
        <v>472708.2</v>
      </c>
      <c r="AG106" s="1200">
        <f t="shared" si="86"/>
        <v>548742.80000000005</v>
      </c>
      <c r="AH106" s="1200">
        <f t="shared" si="87"/>
        <v>591673.20000000007</v>
      </c>
      <c r="AI106" s="1200">
        <f t="shared" si="88"/>
        <v>591673.20000000007</v>
      </c>
      <c r="AK106" s="1851"/>
      <c r="AL106" s="1206" t="s">
        <v>1304</v>
      </c>
      <c r="AM106" s="1200">
        <f t="shared" si="89"/>
        <v>420724.10000000003</v>
      </c>
      <c r="AN106" s="1200">
        <f t="shared" si="82"/>
        <v>548742.80000000005</v>
      </c>
      <c r="AO106" s="1200">
        <f t="shared" si="82"/>
        <v>526597.80000000005</v>
      </c>
      <c r="AP106" s="1200">
        <f t="shared" si="82"/>
        <v>526597.80000000005</v>
      </c>
      <c r="AQ106" s="1213"/>
      <c r="AS106" s="1212"/>
      <c r="AT106" s="1851"/>
      <c r="AU106" s="1206" t="s">
        <v>1304</v>
      </c>
      <c r="AV106" s="1200">
        <v>466720</v>
      </c>
      <c r="AW106" s="1200">
        <v>532750</v>
      </c>
      <c r="AX106" s="1200">
        <v>535750</v>
      </c>
      <c r="AY106" s="1200">
        <v>535750</v>
      </c>
      <c r="BA106" s="1851"/>
      <c r="BB106" s="1206" t="s">
        <v>1304</v>
      </c>
      <c r="BC106" s="1200">
        <v>403010</v>
      </c>
      <c r="BD106" s="1200">
        <v>532750</v>
      </c>
      <c r="BE106" s="1200">
        <v>476830</v>
      </c>
      <c r="BF106" s="1200">
        <v>476830</v>
      </c>
      <c r="BH106" s="1851"/>
      <c r="BI106" s="1206" t="s">
        <v>1304</v>
      </c>
      <c r="BJ106" s="1200">
        <v>458940</v>
      </c>
      <c r="BK106" s="1200">
        <v>532760</v>
      </c>
      <c r="BL106" s="1200">
        <v>574440</v>
      </c>
      <c r="BM106" s="1200">
        <v>574440</v>
      </c>
      <c r="BO106" s="1851"/>
      <c r="BP106" s="1206" t="s">
        <v>1304</v>
      </c>
      <c r="BQ106" s="1200">
        <v>408470</v>
      </c>
      <c r="BR106" s="1200">
        <v>532760</v>
      </c>
      <c r="BS106" s="1200">
        <v>511260</v>
      </c>
      <c r="BT106" s="1200">
        <v>511260</v>
      </c>
      <c r="BU106" s="1213"/>
    </row>
    <row r="107" spans="15:73">
      <c r="O107" s="1212"/>
      <c r="P107" s="1849" t="s">
        <v>1467</v>
      </c>
      <c r="Q107" s="1206" t="s">
        <v>1305</v>
      </c>
      <c r="R107" s="1200">
        <f t="shared" si="83"/>
        <v>5242.7</v>
      </c>
      <c r="S107" s="1200">
        <f t="shared" si="79"/>
        <v>3059.1</v>
      </c>
      <c r="T107" s="1200">
        <f t="shared" si="79"/>
        <v>2523.5</v>
      </c>
      <c r="U107" s="1200">
        <f t="shared" si="79"/>
        <v>2523.5</v>
      </c>
      <c r="W107" s="1849" t="s">
        <v>1467</v>
      </c>
      <c r="X107" s="1206" t="s">
        <v>1305</v>
      </c>
      <c r="Y107" s="1200">
        <f t="shared" si="84"/>
        <v>4521.7</v>
      </c>
      <c r="Z107" s="1200">
        <f t="shared" si="80"/>
        <v>3059.1</v>
      </c>
      <c r="AA107" s="1200">
        <f t="shared" si="80"/>
        <v>2245.4</v>
      </c>
      <c r="AB107" s="1200">
        <f t="shared" si="80"/>
        <v>2245.4</v>
      </c>
      <c r="AD107" s="1849" t="s">
        <v>1467</v>
      </c>
      <c r="AE107" s="1206" t="s">
        <v>1305</v>
      </c>
      <c r="AF107" s="1200">
        <f t="shared" si="85"/>
        <v>5160.3</v>
      </c>
      <c r="AG107" s="1200">
        <f t="shared" si="86"/>
        <v>3059.1</v>
      </c>
      <c r="AH107" s="1200">
        <f t="shared" si="87"/>
        <v>2708.9</v>
      </c>
      <c r="AI107" s="1200">
        <f t="shared" si="88"/>
        <v>2708.9</v>
      </c>
      <c r="AK107" s="1849" t="s">
        <v>1467</v>
      </c>
      <c r="AL107" s="1206" t="s">
        <v>1305</v>
      </c>
      <c r="AM107" s="1200">
        <f t="shared" si="89"/>
        <v>4593.8</v>
      </c>
      <c r="AN107" s="1200">
        <f t="shared" si="82"/>
        <v>3059.1</v>
      </c>
      <c r="AO107" s="1200">
        <f t="shared" si="82"/>
        <v>2410.2000000000003</v>
      </c>
      <c r="AP107" s="1200">
        <f t="shared" si="82"/>
        <v>2410.2000000000003</v>
      </c>
      <c r="AQ107" s="1213"/>
      <c r="AS107" s="1212"/>
      <c r="AT107" s="1849" t="s">
        <v>1467</v>
      </c>
      <c r="AU107" s="1206" t="s">
        <v>1305</v>
      </c>
      <c r="AV107" s="1200">
        <v>5090</v>
      </c>
      <c r="AW107" s="1200">
        <v>2970</v>
      </c>
      <c r="AX107" s="1200">
        <v>2450</v>
      </c>
      <c r="AY107" s="1200">
        <v>2450</v>
      </c>
      <c r="BA107" s="1849" t="s">
        <v>1467</v>
      </c>
      <c r="BB107" s="1206" t="s">
        <v>1305</v>
      </c>
      <c r="BC107" s="1200">
        <v>4390</v>
      </c>
      <c r="BD107" s="1200">
        <v>2970</v>
      </c>
      <c r="BE107" s="1200">
        <v>2180</v>
      </c>
      <c r="BF107" s="1200">
        <v>2180</v>
      </c>
      <c r="BH107" s="1849" t="s">
        <v>1467</v>
      </c>
      <c r="BI107" s="1206" t="s">
        <v>1305</v>
      </c>
      <c r="BJ107" s="1200">
        <v>5010</v>
      </c>
      <c r="BK107" s="1200">
        <v>2970</v>
      </c>
      <c r="BL107" s="1200">
        <v>2630</v>
      </c>
      <c r="BM107" s="1200">
        <v>2630</v>
      </c>
      <c r="BO107" s="1849" t="s">
        <v>1467</v>
      </c>
      <c r="BP107" s="1206" t="s">
        <v>1305</v>
      </c>
      <c r="BQ107" s="1200">
        <v>4460</v>
      </c>
      <c r="BR107" s="1200">
        <v>2970</v>
      </c>
      <c r="BS107" s="1200">
        <v>2340</v>
      </c>
      <c r="BT107" s="1200">
        <v>2340</v>
      </c>
      <c r="BU107" s="1213"/>
    </row>
    <row r="108" spans="15:73">
      <c r="O108" s="1212"/>
      <c r="P108" s="1850"/>
      <c r="Q108" s="1206" t="s">
        <v>1306</v>
      </c>
      <c r="R108" s="1200">
        <f t="shared" si="83"/>
        <v>7570.5</v>
      </c>
      <c r="S108" s="1200">
        <f t="shared" si="79"/>
        <v>4418.7</v>
      </c>
      <c r="T108" s="1200">
        <f t="shared" si="79"/>
        <v>3646.2000000000003</v>
      </c>
      <c r="U108" s="1200">
        <f t="shared" si="79"/>
        <v>3646.2000000000003</v>
      </c>
      <c r="W108" s="1850"/>
      <c r="X108" s="1206" t="s">
        <v>1306</v>
      </c>
      <c r="Y108" s="1200">
        <f t="shared" si="84"/>
        <v>6540.5</v>
      </c>
      <c r="Z108" s="1200">
        <f t="shared" si="80"/>
        <v>4418.7</v>
      </c>
      <c r="AA108" s="1200">
        <f t="shared" si="80"/>
        <v>3244.5</v>
      </c>
      <c r="AB108" s="1200">
        <f t="shared" si="80"/>
        <v>3244.5</v>
      </c>
      <c r="AD108" s="1850"/>
      <c r="AE108" s="1206" t="s">
        <v>1306</v>
      </c>
      <c r="AF108" s="1200">
        <f t="shared" si="85"/>
        <v>7457.2</v>
      </c>
      <c r="AG108" s="1200">
        <f t="shared" si="86"/>
        <v>4429</v>
      </c>
      <c r="AH108" s="1200">
        <f t="shared" si="87"/>
        <v>3914</v>
      </c>
      <c r="AI108" s="1200">
        <f t="shared" si="88"/>
        <v>3914</v>
      </c>
      <c r="AK108" s="1850"/>
      <c r="AL108" s="1206" t="s">
        <v>1306</v>
      </c>
      <c r="AM108" s="1200">
        <f t="shared" si="89"/>
        <v>6633.2</v>
      </c>
      <c r="AN108" s="1200">
        <f t="shared" si="82"/>
        <v>4429</v>
      </c>
      <c r="AO108" s="1200">
        <f t="shared" si="82"/>
        <v>3481.4</v>
      </c>
      <c r="AP108" s="1200">
        <f t="shared" si="82"/>
        <v>3481.4</v>
      </c>
      <c r="AQ108" s="1213"/>
      <c r="AS108" s="1212"/>
      <c r="AT108" s="1850"/>
      <c r="AU108" s="1206" t="s">
        <v>1306</v>
      </c>
      <c r="AV108" s="1200">
        <v>7350</v>
      </c>
      <c r="AW108" s="1200">
        <v>4290</v>
      </c>
      <c r="AX108" s="1200">
        <v>3540</v>
      </c>
      <c r="AY108" s="1200">
        <v>3540</v>
      </c>
      <c r="BA108" s="1850"/>
      <c r="BB108" s="1206" t="s">
        <v>1306</v>
      </c>
      <c r="BC108" s="1200">
        <v>6350</v>
      </c>
      <c r="BD108" s="1200">
        <v>4290</v>
      </c>
      <c r="BE108" s="1200">
        <v>3150</v>
      </c>
      <c r="BF108" s="1200">
        <v>3150</v>
      </c>
      <c r="BH108" s="1850"/>
      <c r="BI108" s="1206" t="s">
        <v>1306</v>
      </c>
      <c r="BJ108" s="1200">
        <v>7240</v>
      </c>
      <c r="BK108" s="1200">
        <v>4300</v>
      </c>
      <c r="BL108" s="1200">
        <v>3800</v>
      </c>
      <c r="BM108" s="1200">
        <v>3800</v>
      </c>
      <c r="BO108" s="1850"/>
      <c r="BP108" s="1206" t="s">
        <v>1306</v>
      </c>
      <c r="BQ108" s="1200">
        <v>6440</v>
      </c>
      <c r="BR108" s="1200">
        <v>4300</v>
      </c>
      <c r="BS108" s="1200">
        <v>3380</v>
      </c>
      <c r="BT108" s="1200">
        <v>3380</v>
      </c>
      <c r="BU108" s="1213"/>
    </row>
    <row r="109" spans="15:73">
      <c r="O109" s="1212"/>
      <c r="P109" s="1851"/>
      <c r="Q109" s="1206" t="s">
        <v>413</v>
      </c>
      <c r="R109" s="1200">
        <f t="shared" si="83"/>
        <v>14028.6</v>
      </c>
      <c r="S109" s="1200">
        <f t="shared" si="79"/>
        <v>8198.8000000000011</v>
      </c>
      <c r="T109" s="1200">
        <f t="shared" si="79"/>
        <v>6756.8</v>
      </c>
      <c r="U109" s="1200">
        <f t="shared" si="79"/>
        <v>6756.8</v>
      </c>
      <c r="W109" s="1851"/>
      <c r="X109" s="1206" t="s">
        <v>413</v>
      </c>
      <c r="Y109" s="1200">
        <f t="shared" si="84"/>
        <v>12112.800000000001</v>
      </c>
      <c r="Z109" s="1200">
        <f t="shared" si="80"/>
        <v>8198.8000000000011</v>
      </c>
      <c r="AA109" s="1200">
        <f t="shared" si="80"/>
        <v>6015.2</v>
      </c>
      <c r="AB109" s="1200">
        <f t="shared" si="80"/>
        <v>6015.2</v>
      </c>
      <c r="AD109" s="1851"/>
      <c r="AE109" s="1206" t="s">
        <v>413</v>
      </c>
      <c r="AF109" s="1200">
        <f t="shared" si="85"/>
        <v>13812.300000000001</v>
      </c>
      <c r="AG109" s="1200">
        <f t="shared" si="86"/>
        <v>8209.1</v>
      </c>
      <c r="AH109" s="1200">
        <f t="shared" si="87"/>
        <v>7251.2</v>
      </c>
      <c r="AI109" s="1200">
        <f t="shared" si="88"/>
        <v>7251.2</v>
      </c>
      <c r="AK109" s="1851"/>
      <c r="AL109" s="1206" t="s">
        <v>413</v>
      </c>
      <c r="AM109" s="1200">
        <f t="shared" si="89"/>
        <v>12287.9</v>
      </c>
      <c r="AN109" s="1200">
        <f t="shared" si="82"/>
        <v>8209.1</v>
      </c>
      <c r="AO109" s="1200">
        <f t="shared" si="82"/>
        <v>6447.8</v>
      </c>
      <c r="AP109" s="1200">
        <f t="shared" si="82"/>
        <v>6447.8</v>
      </c>
      <c r="AQ109" s="1213"/>
      <c r="AS109" s="1212"/>
      <c r="AT109" s="1851"/>
      <c r="AU109" s="1206" t="s">
        <v>413</v>
      </c>
      <c r="AV109" s="1200">
        <v>13620</v>
      </c>
      <c r="AW109" s="1200">
        <v>7960</v>
      </c>
      <c r="AX109" s="1200">
        <v>6560</v>
      </c>
      <c r="AY109" s="1200">
        <v>6560</v>
      </c>
      <c r="BA109" s="1851"/>
      <c r="BB109" s="1206" t="s">
        <v>413</v>
      </c>
      <c r="BC109" s="1200">
        <v>11760</v>
      </c>
      <c r="BD109" s="1200">
        <v>7960</v>
      </c>
      <c r="BE109" s="1200">
        <v>5840</v>
      </c>
      <c r="BF109" s="1200">
        <v>5840</v>
      </c>
      <c r="BH109" s="1851"/>
      <c r="BI109" s="1206" t="s">
        <v>413</v>
      </c>
      <c r="BJ109" s="1200">
        <v>13410</v>
      </c>
      <c r="BK109" s="1200">
        <v>7970</v>
      </c>
      <c r="BL109" s="1200">
        <v>7040</v>
      </c>
      <c r="BM109" s="1200">
        <v>7040</v>
      </c>
      <c r="BO109" s="1851"/>
      <c r="BP109" s="1206" t="s">
        <v>413</v>
      </c>
      <c r="BQ109" s="1200">
        <v>11930</v>
      </c>
      <c r="BR109" s="1200">
        <v>7970</v>
      </c>
      <c r="BS109" s="1200">
        <v>6260</v>
      </c>
      <c r="BT109" s="1200">
        <v>6260</v>
      </c>
      <c r="BU109" s="1213"/>
    </row>
    <row r="110" spans="15:73">
      <c r="O110" s="1212"/>
      <c r="P110" s="1206" t="s">
        <v>416</v>
      </c>
      <c r="Q110" s="1206" t="s">
        <v>414</v>
      </c>
      <c r="R110" s="1200">
        <f t="shared" si="83"/>
        <v>2163</v>
      </c>
      <c r="S110" s="1200">
        <f t="shared" si="79"/>
        <v>3677.1</v>
      </c>
      <c r="T110" s="1200">
        <f t="shared" si="79"/>
        <v>1874.6000000000001</v>
      </c>
      <c r="U110" s="1200">
        <f t="shared" si="79"/>
        <v>1874.6000000000001</v>
      </c>
      <c r="W110" s="1206" t="s">
        <v>416</v>
      </c>
      <c r="X110" s="1206" t="s">
        <v>414</v>
      </c>
      <c r="Y110" s="1200">
        <f t="shared" si="84"/>
        <v>1864.3</v>
      </c>
      <c r="Z110" s="1200">
        <f t="shared" si="80"/>
        <v>3677.1</v>
      </c>
      <c r="AA110" s="1200">
        <f t="shared" si="80"/>
        <v>1668.6000000000001</v>
      </c>
      <c r="AB110" s="1200">
        <f t="shared" si="80"/>
        <v>1668.6000000000001</v>
      </c>
      <c r="AD110" s="1206" t="s">
        <v>416</v>
      </c>
      <c r="AE110" s="1206" t="s">
        <v>414</v>
      </c>
      <c r="AF110" s="1200">
        <f t="shared" si="85"/>
        <v>2132.1</v>
      </c>
      <c r="AG110" s="1200">
        <f t="shared" si="86"/>
        <v>3677.1</v>
      </c>
      <c r="AH110" s="1200">
        <f t="shared" si="87"/>
        <v>2008.5</v>
      </c>
      <c r="AI110" s="1200">
        <f t="shared" si="88"/>
        <v>2008.5</v>
      </c>
      <c r="AK110" s="1206" t="s">
        <v>416</v>
      </c>
      <c r="AL110" s="1206" t="s">
        <v>414</v>
      </c>
      <c r="AM110" s="1200">
        <f t="shared" si="89"/>
        <v>1895.2</v>
      </c>
      <c r="AN110" s="1200">
        <f t="shared" si="82"/>
        <v>3677.1</v>
      </c>
      <c r="AO110" s="1200">
        <f t="shared" si="82"/>
        <v>1792.2</v>
      </c>
      <c r="AP110" s="1200">
        <f t="shared" si="82"/>
        <v>1792.2</v>
      </c>
      <c r="AQ110" s="1213"/>
      <c r="AS110" s="1212"/>
      <c r="AT110" s="1206" t="s">
        <v>416</v>
      </c>
      <c r="AU110" s="1206" t="s">
        <v>414</v>
      </c>
      <c r="AV110" s="1201">
        <v>2100</v>
      </c>
      <c r="AW110" s="1201">
        <v>3570</v>
      </c>
      <c r="AX110" s="1201">
        <v>1820</v>
      </c>
      <c r="AY110" s="1201">
        <v>1820</v>
      </c>
      <c r="BA110" s="1206" t="s">
        <v>416</v>
      </c>
      <c r="BB110" s="1206" t="s">
        <v>414</v>
      </c>
      <c r="BC110" s="1201">
        <v>1810</v>
      </c>
      <c r="BD110" s="1201">
        <v>3570</v>
      </c>
      <c r="BE110" s="1201">
        <v>1620</v>
      </c>
      <c r="BF110" s="1201">
        <v>1620</v>
      </c>
      <c r="BH110" s="1206" t="s">
        <v>416</v>
      </c>
      <c r="BI110" s="1206" t="s">
        <v>414</v>
      </c>
      <c r="BJ110" s="1201">
        <v>2070</v>
      </c>
      <c r="BK110" s="1201">
        <v>3570</v>
      </c>
      <c r="BL110" s="1201">
        <v>1950</v>
      </c>
      <c r="BM110" s="1201">
        <v>1950</v>
      </c>
      <c r="BO110" s="1206" t="s">
        <v>416</v>
      </c>
      <c r="BP110" s="1206" t="s">
        <v>414</v>
      </c>
      <c r="BQ110" s="1201">
        <v>1840</v>
      </c>
      <c r="BR110" s="1201">
        <v>3570</v>
      </c>
      <c r="BS110" s="1201">
        <v>1740</v>
      </c>
      <c r="BT110" s="1201">
        <v>1740</v>
      </c>
      <c r="BU110" s="1213"/>
    </row>
    <row r="111" spans="15:73">
      <c r="O111" s="1212"/>
      <c r="P111" s="1206" t="s">
        <v>415</v>
      </c>
      <c r="Q111" s="1206" t="s">
        <v>1307</v>
      </c>
      <c r="R111" s="1201">
        <v>23300</v>
      </c>
      <c r="S111" s="1201">
        <v>20500</v>
      </c>
      <c r="T111" s="1201">
        <v>23100</v>
      </c>
      <c r="U111" s="1201">
        <v>23100</v>
      </c>
      <c r="W111" s="1206" t="s">
        <v>415</v>
      </c>
      <c r="X111" s="1206" t="s">
        <v>1307</v>
      </c>
      <c r="Y111" s="1201">
        <v>23300</v>
      </c>
      <c r="Z111" s="1201">
        <v>20500</v>
      </c>
      <c r="AA111" s="1201">
        <v>23100</v>
      </c>
      <c r="AB111" s="1201">
        <v>23100</v>
      </c>
      <c r="AD111" s="1206" t="s">
        <v>415</v>
      </c>
      <c r="AE111" s="1206" t="s">
        <v>1307</v>
      </c>
      <c r="AF111" s="1201">
        <v>23300</v>
      </c>
      <c r="AG111" s="1201">
        <v>20500</v>
      </c>
      <c r="AH111" s="1201">
        <v>23100</v>
      </c>
      <c r="AI111" s="1201">
        <v>23100</v>
      </c>
      <c r="AK111" s="1206" t="s">
        <v>415</v>
      </c>
      <c r="AL111" s="1206" t="s">
        <v>1307</v>
      </c>
      <c r="AM111" s="1201">
        <v>23300</v>
      </c>
      <c r="AN111" s="1201">
        <v>20500</v>
      </c>
      <c r="AO111" s="1201">
        <v>23100</v>
      </c>
      <c r="AP111" s="1201">
        <v>23100</v>
      </c>
      <c r="AQ111" s="1213"/>
      <c r="AS111" s="1212"/>
      <c r="AT111" s="1206" t="s">
        <v>415</v>
      </c>
      <c r="AU111" s="1206" t="s">
        <v>1307</v>
      </c>
      <c r="AV111" s="1201">
        <v>23300</v>
      </c>
      <c r="AW111" s="1201">
        <v>20500</v>
      </c>
      <c r="AX111" s="1201">
        <v>23100</v>
      </c>
      <c r="AY111" s="1201">
        <v>23100</v>
      </c>
      <c r="BA111" s="1206" t="s">
        <v>415</v>
      </c>
      <c r="BB111" s="1206" t="s">
        <v>1307</v>
      </c>
      <c r="BC111" s="1201">
        <v>23300</v>
      </c>
      <c r="BD111" s="1201">
        <v>20500</v>
      </c>
      <c r="BE111" s="1201">
        <v>23100</v>
      </c>
      <c r="BF111" s="1201">
        <v>23100</v>
      </c>
      <c r="BH111" s="1206" t="s">
        <v>415</v>
      </c>
      <c r="BI111" s="1206" t="s">
        <v>1307</v>
      </c>
      <c r="BJ111" s="1201">
        <v>23300</v>
      </c>
      <c r="BK111" s="1201">
        <v>20500</v>
      </c>
      <c r="BL111" s="1201">
        <v>23100</v>
      </c>
      <c r="BM111" s="1201">
        <v>23100</v>
      </c>
      <c r="BO111" s="1206" t="s">
        <v>415</v>
      </c>
      <c r="BP111" s="1206" t="s">
        <v>1307</v>
      </c>
      <c r="BQ111" s="1201">
        <v>23300</v>
      </c>
      <c r="BR111" s="1201">
        <v>20500</v>
      </c>
      <c r="BS111" s="1201">
        <v>23100</v>
      </c>
      <c r="BT111" s="1201">
        <v>23100</v>
      </c>
      <c r="BU111" s="1213"/>
    </row>
    <row r="112" spans="15:73">
      <c r="O112" s="1212"/>
      <c r="P112" s="1852" t="s">
        <v>408</v>
      </c>
      <c r="Q112" s="1845" t="s">
        <v>1308</v>
      </c>
      <c r="R112" s="1204">
        <v>166120</v>
      </c>
      <c r="S112" s="1204">
        <v>243830</v>
      </c>
      <c r="T112" s="1204">
        <v>164230</v>
      </c>
      <c r="U112" s="1204">
        <v>164230</v>
      </c>
      <c r="W112" s="1852" t="s">
        <v>408</v>
      </c>
      <c r="X112" s="1845" t="s">
        <v>1308</v>
      </c>
      <c r="Y112" s="1204">
        <v>143440</v>
      </c>
      <c r="Z112" s="1204">
        <v>243830</v>
      </c>
      <c r="AA112" s="1204">
        <v>146170</v>
      </c>
      <c r="AB112" s="1204">
        <v>146170</v>
      </c>
      <c r="AD112" s="1852" t="s">
        <v>408</v>
      </c>
      <c r="AE112" s="1845" t="s">
        <v>1308</v>
      </c>
      <c r="AF112" s="1204">
        <v>163380</v>
      </c>
      <c r="AG112" s="1204">
        <v>243890</v>
      </c>
      <c r="AH112" s="1204">
        <v>176130</v>
      </c>
      <c r="AI112" s="1204">
        <v>176130</v>
      </c>
      <c r="AK112" s="1852" t="s">
        <v>408</v>
      </c>
      <c r="AL112" s="1845" t="s">
        <v>1308</v>
      </c>
      <c r="AM112" s="1204">
        <v>145410</v>
      </c>
      <c r="AN112" s="1204">
        <v>243890</v>
      </c>
      <c r="AO112" s="1204">
        <v>156760</v>
      </c>
      <c r="AP112" s="1204">
        <v>156760</v>
      </c>
      <c r="AQ112" s="1213"/>
      <c r="AS112" s="1212"/>
      <c r="AT112" s="1852" t="s">
        <v>408</v>
      </c>
      <c r="AU112" s="1845" t="s">
        <v>1308</v>
      </c>
      <c r="AV112" s="1204">
        <v>166120</v>
      </c>
      <c r="AW112" s="1204">
        <v>243830</v>
      </c>
      <c r="AX112" s="1204">
        <v>164230</v>
      </c>
      <c r="AY112" s="1204">
        <v>164230</v>
      </c>
      <c r="BA112" s="1852" t="s">
        <v>408</v>
      </c>
      <c r="BB112" s="1845" t="s">
        <v>1308</v>
      </c>
      <c r="BC112" s="1204">
        <v>143440</v>
      </c>
      <c r="BD112" s="1204">
        <v>243830</v>
      </c>
      <c r="BE112" s="1204">
        <v>146170</v>
      </c>
      <c r="BF112" s="1204">
        <v>146170</v>
      </c>
      <c r="BH112" s="1852" t="s">
        <v>408</v>
      </c>
      <c r="BI112" s="1845" t="s">
        <v>1308</v>
      </c>
      <c r="BJ112" s="1204">
        <v>163380</v>
      </c>
      <c r="BK112" s="1204">
        <v>243890</v>
      </c>
      <c r="BL112" s="1204">
        <v>176130</v>
      </c>
      <c r="BM112" s="1204">
        <v>176130</v>
      </c>
      <c r="BO112" s="1852" t="s">
        <v>408</v>
      </c>
      <c r="BP112" s="1845" t="s">
        <v>1308</v>
      </c>
      <c r="BQ112" s="1204">
        <v>145410</v>
      </c>
      <c r="BR112" s="1204">
        <v>243890</v>
      </c>
      <c r="BS112" s="1204">
        <v>156760</v>
      </c>
      <c r="BT112" s="1204">
        <v>156760</v>
      </c>
      <c r="BU112" s="1213"/>
    </row>
    <row r="113" spans="15:73">
      <c r="O113" s="1212"/>
      <c r="P113" s="1853"/>
      <c r="Q113" s="1846"/>
      <c r="R113" s="1205">
        <f>R112/100000</f>
        <v>1.6612</v>
      </c>
      <c r="S113" s="1205">
        <f t="shared" ref="S113:U113" si="90">S112/100000</f>
        <v>2.4382999999999999</v>
      </c>
      <c r="T113" s="1205">
        <f t="shared" si="90"/>
        <v>1.6423000000000001</v>
      </c>
      <c r="U113" s="1205">
        <f t="shared" si="90"/>
        <v>1.6423000000000001</v>
      </c>
      <c r="W113" s="1853"/>
      <c r="X113" s="1846"/>
      <c r="Y113" s="1205">
        <f>Y112/100000</f>
        <v>1.4343999999999999</v>
      </c>
      <c r="Z113" s="1205">
        <f t="shared" ref="Z113:AB113" si="91">Z112/100000</f>
        <v>2.4382999999999999</v>
      </c>
      <c r="AA113" s="1205">
        <f t="shared" si="91"/>
        <v>1.4617</v>
      </c>
      <c r="AB113" s="1205">
        <f t="shared" si="91"/>
        <v>1.4617</v>
      </c>
      <c r="AD113" s="1853"/>
      <c r="AE113" s="1846"/>
      <c r="AF113" s="1205">
        <f>AF112/100000</f>
        <v>1.6337999999999999</v>
      </c>
      <c r="AG113" s="1205">
        <f t="shared" ref="AG113:AI113" si="92">AG112/100000</f>
        <v>2.4388999999999998</v>
      </c>
      <c r="AH113" s="1205">
        <f t="shared" si="92"/>
        <v>1.7613000000000001</v>
      </c>
      <c r="AI113" s="1205">
        <f t="shared" si="92"/>
        <v>1.7613000000000001</v>
      </c>
      <c r="AK113" s="1853"/>
      <c r="AL113" s="1846"/>
      <c r="AM113" s="1205">
        <f>AM112/100000</f>
        <v>1.4540999999999999</v>
      </c>
      <c r="AN113" s="1205">
        <f t="shared" ref="AN113:AP113" si="93">AN112/100000</f>
        <v>2.4388999999999998</v>
      </c>
      <c r="AO113" s="1205">
        <f t="shared" si="93"/>
        <v>1.5676000000000001</v>
      </c>
      <c r="AP113" s="1205">
        <f t="shared" si="93"/>
        <v>1.5676000000000001</v>
      </c>
      <c r="AQ113" s="1213"/>
      <c r="AS113" s="1212"/>
      <c r="AT113" s="1853"/>
      <c r="AU113" s="1846"/>
      <c r="AV113" s="1205">
        <f>AV112/100000</f>
        <v>1.6612</v>
      </c>
      <c r="AW113" s="1205">
        <f t="shared" ref="AW113:AY113" si="94">AW112/100000</f>
        <v>2.4382999999999999</v>
      </c>
      <c r="AX113" s="1205">
        <f t="shared" si="94"/>
        <v>1.6423000000000001</v>
      </c>
      <c r="AY113" s="1205">
        <f t="shared" si="94"/>
        <v>1.6423000000000001</v>
      </c>
      <c r="BA113" s="1853"/>
      <c r="BB113" s="1846"/>
      <c r="BC113" s="1205">
        <f>BC112/100000</f>
        <v>1.4343999999999999</v>
      </c>
      <c r="BD113" s="1205">
        <f t="shared" ref="BD113:BF113" si="95">BD112/100000</f>
        <v>2.4382999999999999</v>
      </c>
      <c r="BE113" s="1205">
        <f t="shared" si="95"/>
        <v>1.4617</v>
      </c>
      <c r="BF113" s="1205">
        <f t="shared" si="95"/>
        <v>1.4617</v>
      </c>
      <c r="BH113" s="1853"/>
      <c r="BI113" s="1846"/>
      <c r="BJ113" s="1205">
        <f>BJ112/100000</f>
        <v>1.6337999999999999</v>
      </c>
      <c r="BK113" s="1205">
        <f t="shared" ref="BK113:BM113" si="96">BK112/100000</f>
        <v>2.4388999999999998</v>
      </c>
      <c r="BL113" s="1205">
        <f t="shared" si="96"/>
        <v>1.7613000000000001</v>
      </c>
      <c r="BM113" s="1205">
        <f t="shared" si="96"/>
        <v>1.7613000000000001</v>
      </c>
      <c r="BO113" s="1853"/>
      <c r="BP113" s="1846"/>
      <c r="BQ113" s="1205">
        <f>BQ112/100000</f>
        <v>1.4540999999999999</v>
      </c>
      <c r="BR113" s="1205">
        <f t="shared" ref="BR113:BT113" si="97">BR112/100000</f>
        <v>2.4388999999999998</v>
      </c>
      <c r="BS113" s="1205">
        <f t="shared" si="97"/>
        <v>1.5676000000000001</v>
      </c>
      <c r="BT113" s="1205">
        <f t="shared" si="97"/>
        <v>1.5676000000000001</v>
      </c>
      <c r="BU113" s="1213"/>
    </row>
    <row r="114" spans="15:73">
      <c r="O114" s="1212"/>
      <c r="P114" s="1216"/>
      <c r="R114" s="1217">
        <f t="shared" ref="R114:U114" si="98">R102+R103+R104+R109+R110</f>
        <v>983680.9</v>
      </c>
      <c r="S114" s="1217">
        <f t="shared" si="98"/>
        <v>1055276.2000000002</v>
      </c>
      <c r="T114" s="1217">
        <f t="shared" si="98"/>
        <v>1050188.0000000002</v>
      </c>
      <c r="U114" s="1217">
        <f t="shared" si="98"/>
        <v>1050188.0000000002</v>
      </c>
      <c r="V114" s="1217"/>
      <c r="W114" s="1217"/>
      <c r="X114" s="1217"/>
      <c r="Y114" s="1217">
        <f>Y102+Y103+Y104+Y109+Y110</f>
        <v>872894.10000000009</v>
      </c>
      <c r="Z114" s="1217">
        <f t="shared" ref="Z114:AP114" si="99">Z102+Z103+Z104+Z109+Z110</f>
        <v>1055276.2000000002</v>
      </c>
      <c r="AA114" s="1217">
        <f t="shared" si="99"/>
        <v>959712.79999999993</v>
      </c>
      <c r="AB114" s="1217">
        <f t="shared" si="99"/>
        <v>959712.79999999993</v>
      </c>
      <c r="AC114" s="1217"/>
      <c r="AD114" s="1217"/>
      <c r="AE114" s="1217"/>
      <c r="AF114" s="1217">
        <f t="shared" si="99"/>
        <v>967303.9</v>
      </c>
      <c r="AG114" s="1217">
        <f t="shared" si="99"/>
        <v>1055317.4000000001</v>
      </c>
      <c r="AH114" s="1217">
        <f t="shared" si="99"/>
        <v>1126026.9000000001</v>
      </c>
      <c r="AI114" s="1217">
        <f t="shared" si="99"/>
        <v>1126026.9000000001</v>
      </c>
      <c r="AJ114" s="1217">
        <f t="shared" si="99"/>
        <v>0</v>
      </c>
      <c r="AK114" s="1217"/>
      <c r="AL114" s="1217"/>
      <c r="AM114" s="1217">
        <f t="shared" si="99"/>
        <v>884759.7</v>
      </c>
      <c r="AN114" s="1217">
        <f t="shared" si="99"/>
        <v>1055317.4000000001</v>
      </c>
      <c r="AO114" s="1217">
        <f t="shared" si="99"/>
        <v>1029011.2000000001</v>
      </c>
      <c r="AP114" s="1217">
        <f t="shared" si="99"/>
        <v>1029011.2000000001</v>
      </c>
      <c r="AQ114" s="1213"/>
      <c r="AS114" s="1212"/>
      <c r="AT114" s="1216"/>
      <c r="AV114" s="1217">
        <f t="shared" ref="AV114:AY114" si="100">AV102+AV103+AV104+AV109+AV110</f>
        <v>955030</v>
      </c>
      <c r="AW114" s="1217">
        <f t="shared" si="100"/>
        <v>1024540</v>
      </c>
      <c r="AX114" s="1217">
        <f t="shared" si="100"/>
        <v>1019600</v>
      </c>
      <c r="AY114" s="1217">
        <f t="shared" si="100"/>
        <v>1019600</v>
      </c>
      <c r="AZ114" s="1217"/>
      <c r="BA114" s="1217"/>
      <c r="BB114" s="1217"/>
      <c r="BC114" s="1217">
        <f>BC102+BC103+BC104+BC109+BC110</f>
        <v>847470</v>
      </c>
      <c r="BD114" s="1217">
        <f t="shared" ref="BD114:BF114" si="101">BD102+BD103+BD104+BD109+BD110</f>
        <v>1024540</v>
      </c>
      <c r="BE114" s="1217">
        <f t="shared" si="101"/>
        <v>931760</v>
      </c>
      <c r="BF114" s="1217">
        <f t="shared" si="101"/>
        <v>931760</v>
      </c>
      <c r="BG114" s="1217"/>
      <c r="BH114" s="1217"/>
      <c r="BI114" s="1217"/>
      <c r="BJ114" s="1217">
        <f t="shared" ref="BJ114:BN114" si="102">BJ102+BJ103+BJ104+BJ109+BJ110</f>
        <v>939130</v>
      </c>
      <c r="BK114" s="1217">
        <f t="shared" si="102"/>
        <v>1024580</v>
      </c>
      <c r="BL114" s="1217">
        <f t="shared" si="102"/>
        <v>1093230</v>
      </c>
      <c r="BM114" s="1217">
        <f t="shared" si="102"/>
        <v>1093230</v>
      </c>
      <c r="BN114" s="1217">
        <f t="shared" si="102"/>
        <v>0</v>
      </c>
      <c r="BO114" s="1217"/>
      <c r="BP114" s="1217"/>
      <c r="BQ114" s="1217">
        <f t="shared" ref="BQ114:BT114" si="103">BQ102+BQ103+BQ104+BQ109+BQ110</f>
        <v>858990</v>
      </c>
      <c r="BR114" s="1217">
        <f t="shared" si="103"/>
        <v>1024580</v>
      </c>
      <c r="BS114" s="1217">
        <f t="shared" si="103"/>
        <v>999040</v>
      </c>
      <c r="BT114" s="1217">
        <f t="shared" si="103"/>
        <v>999040</v>
      </c>
      <c r="BU114" s="1213"/>
    </row>
    <row r="115" spans="15:73" ht="12" thickBot="1">
      <c r="O115" s="1218"/>
      <c r="P115" s="1219"/>
      <c r="Q115" s="1219"/>
      <c r="R115" s="1219"/>
      <c r="S115" s="1219"/>
      <c r="T115" s="1219"/>
      <c r="U115" s="1219"/>
      <c r="V115" s="1219"/>
      <c r="W115" s="1219"/>
      <c r="X115" s="1219"/>
      <c r="Y115" s="1219"/>
      <c r="Z115" s="1219"/>
      <c r="AA115" s="1219"/>
      <c r="AB115" s="1219"/>
      <c r="AC115" s="1219"/>
      <c r="AD115" s="1219"/>
      <c r="AE115" s="1219"/>
      <c r="AF115" s="1219"/>
      <c r="AG115" s="1219"/>
      <c r="AH115" s="1219"/>
      <c r="AI115" s="1219"/>
      <c r="AJ115" s="1219"/>
      <c r="AK115" s="1219"/>
      <c r="AL115" s="1219"/>
      <c r="AM115" s="1219"/>
      <c r="AN115" s="1219"/>
      <c r="AO115" s="1219"/>
      <c r="AP115" s="1219"/>
      <c r="AQ115" s="1220"/>
      <c r="AS115" s="1218"/>
      <c r="AT115" s="1219"/>
      <c r="AU115" s="1219"/>
      <c r="AV115" s="1219"/>
      <c r="AW115" s="1219"/>
      <c r="AX115" s="1219"/>
      <c r="AY115" s="1219"/>
      <c r="AZ115" s="1219"/>
      <c r="BA115" s="1219"/>
      <c r="BB115" s="1219"/>
      <c r="BC115" s="1219"/>
      <c r="BD115" s="1219"/>
      <c r="BE115" s="1219"/>
      <c r="BF115" s="1219"/>
      <c r="BG115" s="1219"/>
      <c r="BH115" s="1219"/>
      <c r="BI115" s="1219"/>
      <c r="BJ115" s="1219"/>
      <c r="BK115" s="1219"/>
      <c r="BL115" s="1219"/>
      <c r="BM115" s="1219"/>
      <c r="BN115" s="1219"/>
      <c r="BO115" s="1219"/>
      <c r="BP115" s="1219"/>
      <c r="BQ115" s="1219"/>
      <c r="BR115" s="1219"/>
      <c r="BS115" s="1219"/>
      <c r="BT115" s="1219"/>
      <c r="BU115" s="1220"/>
    </row>
    <row r="117" spans="15:73" ht="12" thickBot="1"/>
    <row r="118" spans="15:73" ht="12" thickBot="1">
      <c r="O118" s="1209"/>
      <c r="P118" s="1210"/>
      <c r="Q118" s="1210"/>
      <c r="R118" s="1210"/>
      <c r="S118" s="1210"/>
      <c r="T118" s="1210"/>
      <c r="U118" s="1210"/>
      <c r="V118" s="1210"/>
      <c r="W118" s="1210"/>
      <c r="X118" s="1210"/>
      <c r="Y118" s="1210"/>
      <c r="Z118" s="1210"/>
      <c r="AA118" s="1210"/>
      <c r="AB118" s="1210"/>
      <c r="AC118" s="1210"/>
      <c r="AD118" s="1210"/>
      <c r="AE118" s="1210"/>
      <c r="AF118" s="1210"/>
      <c r="AG118" s="1210"/>
      <c r="AH118" s="1210"/>
      <c r="AI118" s="1210"/>
      <c r="AJ118" s="1210"/>
      <c r="AK118" s="1210"/>
      <c r="AL118" s="1210"/>
      <c r="AM118" s="1210"/>
      <c r="AN118" s="1210"/>
      <c r="AO118" s="1210"/>
      <c r="AP118" s="1210"/>
      <c r="AQ118" s="1211"/>
      <c r="AS118" s="1209"/>
      <c r="AT118" s="1210"/>
      <c r="AU118" s="1210"/>
      <c r="AV118" s="1210"/>
      <c r="AW118" s="1210"/>
      <c r="AX118" s="1210"/>
      <c r="AY118" s="1210"/>
      <c r="AZ118" s="1210"/>
      <c r="BA118" s="1210"/>
      <c r="BB118" s="1210"/>
      <c r="BC118" s="1210"/>
      <c r="BD118" s="1210"/>
      <c r="BE118" s="1210"/>
      <c r="BF118" s="1210"/>
      <c r="BG118" s="1210"/>
      <c r="BH118" s="1210"/>
      <c r="BI118" s="1210"/>
      <c r="BJ118" s="1210"/>
      <c r="BK118" s="1210"/>
      <c r="BL118" s="1210"/>
      <c r="BM118" s="1210"/>
      <c r="BN118" s="1210"/>
      <c r="BO118" s="1210"/>
      <c r="BP118" s="1210"/>
      <c r="BQ118" s="1210"/>
      <c r="BR118" s="1210"/>
      <c r="BS118" s="1210"/>
      <c r="BT118" s="1210"/>
      <c r="BU118" s="1211"/>
    </row>
    <row r="119" spans="15:73" ht="12" thickBot="1">
      <c r="O119" s="1212"/>
      <c r="P119" s="1847" t="s">
        <v>1472</v>
      </c>
      <c r="Q119" s="1848"/>
      <c r="AQ119" s="1213"/>
      <c r="AS119" s="1212"/>
      <c r="AT119" s="1847" t="s">
        <v>1472</v>
      </c>
      <c r="AU119" s="1848"/>
      <c r="BU119" s="1213"/>
    </row>
    <row r="120" spans="15:73">
      <c r="O120" s="1212"/>
      <c r="P120" s="1842" t="s">
        <v>1295</v>
      </c>
      <c r="Q120" s="1842"/>
      <c r="R120" s="1214"/>
      <c r="S120" s="1214"/>
      <c r="T120" s="1214"/>
      <c r="U120" s="1214"/>
      <c r="W120" s="1842" t="s">
        <v>1468</v>
      </c>
      <c r="X120" s="1842"/>
      <c r="Y120" s="1214"/>
      <c r="Z120" s="1214"/>
      <c r="AA120" s="1214"/>
      <c r="AB120" s="1214"/>
      <c r="AD120" s="1842" t="s">
        <v>1310</v>
      </c>
      <c r="AE120" s="1842"/>
      <c r="AF120" s="1214"/>
      <c r="AG120" s="1214"/>
      <c r="AH120" s="1214"/>
      <c r="AI120" s="1214"/>
      <c r="AK120" s="1842" t="s">
        <v>1309</v>
      </c>
      <c r="AL120" s="1842"/>
      <c r="AM120" s="1214"/>
      <c r="AN120" s="1214"/>
      <c r="AO120" s="1214"/>
      <c r="AP120" s="1214"/>
      <c r="AQ120" s="1213"/>
      <c r="AS120" s="1212"/>
      <c r="AT120" s="1842" t="s">
        <v>1295</v>
      </c>
      <c r="AU120" s="1842"/>
      <c r="AV120" s="1214"/>
      <c r="AW120" s="1214"/>
      <c r="AX120" s="1214"/>
      <c r="AY120" s="1214"/>
      <c r="BA120" s="1842" t="s">
        <v>1468</v>
      </c>
      <c r="BB120" s="1842"/>
      <c r="BC120" s="1214"/>
      <c r="BD120" s="1214"/>
      <c r="BE120" s="1214"/>
      <c r="BF120" s="1214"/>
      <c r="BH120" s="1842" t="s">
        <v>1310</v>
      </c>
      <c r="BI120" s="1842"/>
      <c r="BJ120" s="1214"/>
      <c r="BK120" s="1214"/>
      <c r="BL120" s="1214"/>
      <c r="BM120" s="1214"/>
      <c r="BO120" s="1842" t="s">
        <v>1309</v>
      </c>
      <c r="BP120" s="1842"/>
      <c r="BQ120" s="1214"/>
      <c r="BR120" s="1214"/>
      <c r="BS120" s="1214"/>
      <c r="BT120" s="1214"/>
      <c r="BU120" s="1213"/>
    </row>
    <row r="121" spans="15:73">
      <c r="O121" s="1212"/>
      <c r="P121" s="1843" t="s">
        <v>1297</v>
      </c>
      <c r="Q121" s="1844"/>
      <c r="R121" s="1214"/>
      <c r="S121" s="1214"/>
      <c r="T121" s="1214"/>
      <c r="U121" s="1215" t="s">
        <v>1298</v>
      </c>
      <c r="W121" s="1843" t="s">
        <v>1297</v>
      </c>
      <c r="X121" s="1844"/>
      <c r="Y121" s="1214"/>
      <c r="Z121" s="1214"/>
      <c r="AA121" s="1214"/>
      <c r="AB121" s="1215" t="s">
        <v>1298</v>
      </c>
      <c r="AD121" s="1843" t="s">
        <v>1297</v>
      </c>
      <c r="AE121" s="1844"/>
      <c r="AF121" s="1214"/>
      <c r="AG121" s="1214"/>
      <c r="AH121" s="1214"/>
      <c r="AI121" s="1215" t="s">
        <v>1298</v>
      </c>
      <c r="AK121" s="1843" t="s">
        <v>1297</v>
      </c>
      <c r="AL121" s="1844"/>
      <c r="AM121" s="1214"/>
      <c r="AN121" s="1214"/>
      <c r="AO121" s="1214"/>
      <c r="AP121" s="1215" t="s">
        <v>1298</v>
      </c>
      <c r="AQ121" s="1213"/>
      <c r="AS121" s="1212"/>
      <c r="AT121" s="1843" t="s">
        <v>1297</v>
      </c>
      <c r="AU121" s="1844"/>
      <c r="AV121" s="1214"/>
      <c r="AW121" s="1214"/>
      <c r="AX121" s="1214"/>
      <c r="AY121" s="1215" t="s">
        <v>1298</v>
      </c>
      <c r="BA121" s="1843" t="s">
        <v>1297</v>
      </c>
      <c r="BB121" s="1844"/>
      <c r="BC121" s="1214"/>
      <c r="BD121" s="1214"/>
      <c r="BE121" s="1214"/>
      <c r="BF121" s="1215" t="s">
        <v>1298</v>
      </c>
      <c r="BH121" s="1843" t="s">
        <v>1297</v>
      </c>
      <c r="BI121" s="1844"/>
      <c r="BJ121" s="1214"/>
      <c r="BK121" s="1214"/>
      <c r="BL121" s="1214"/>
      <c r="BM121" s="1215" t="s">
        <v>1298</v>
      </c>
      <c r="BO121" s="1843" t="s">
        <v>1297</v>
      </c>
      <c r="BP121" s="1844"/>
      <c r="BQ121" s="1214"/>
      <c r="BR121" s="1214"/>
      <c r="BS121" s="1214"/>
      <c r="BT121" s="1215" t="s">
        <v>1298</v>
      </c>
      <c r="BU121" s="1213"/>
    </row>
    <row r="122" spans="15:73">
      <c r="O122" s="1212"/>
      <c r="P122" s="1198" t="s">
        <v>409</v>
      </c>
      <c r="Q122" s="1198" t="s">
        <v>410</v>
      </c>
      <c r="R122" s="1198" t="s">
        <v>375</v>
      </c>
      <c r="S122" s="1198" t="s">
        <v>411</v>
      </c>
      <c r="T122" s="1198" t="s">
        <v>1299</v>
      </c>
      <c r="U122" s="1198" t="s">
        <v>1300</v>
      </c>
      <c r="W122" s="1198" t="s">
        <v>409</v>
      </c>
      <c r="X122" s="1198" t="s">
        <v>410</v>
      </c>
      <c r="Y122" s="1198" t="s">
        <v>375</v>
      </c>
      <c r="Z122" s="1198" t="s">
        <v>411</v>
      </c>
      <c r="AA122" s="1198" t="s">
        <v>1299</v>
      </c>
      <c r="AB122" s="1198" t="s">
        <v>1300</v>
      </c>
      <c r="AD122" s="1198" t="s">
        <v>409</v>
      </c>
      <c r="AE122" s="1198" t="s">
        <v>410</v>
      </c>
      <c r="AF122" s="1198" t="s">
        <v>375</v>
      </c>
      <c r="AG122" s="1198" t="s">
        <v>411</v>
      </c>
      <c r="AH122" s="1198" t="s">
        <v>1299</v>
      </c>
      <c r="AI122" s="1198" t="s">
        <v>1300</v>
      </c>
      <c r="AK122" s="1198" t="s">
        <v>409</v>
      </c>
      <c r="AL122" s="1198" t="s">
        <v>410</v>
      </c>
      <c r="AM122" s="1198" t="s">
        <v>375</v>
      </c>
      <c r="AN122" s="1198" t="s">
        <v>411</v>
      </c>
      <c r="AO122" s="1198" t="s">
        <v>1299</v>
      </c>
      <c r="AP122" s="1198" t="s">
        <v>1300</v>
      </c>
      <c r="AQ122" s="1213"/>
      <c r="AS122" s="1212"/>
      <c r="AT122" s="1198" t="s">
        <v>409</v>
      </c>
      <c r="AU122" s="1198" t="s">
        <v>410</v>
      </c>
      <c r="AV122" s="1198" t="s">
        <v>375</v>
      </c>
      <c r="AW122" s="1198" t="s">
        <v>411</v>
      </c>
      <c r="AX122" s="1198" t="s">
        <v>1299</v>
      </c>
      <c r="AY122" s="1198" t="s">
        <v>1300</v>
      </c>
      <c r="BA122" s="1198" t="s">
        <v>409</v>
      </c>
      <c r="BB122" s="1198" t="s">
        <v>410</v>
      </c>
      <c r="BC122" s="1198" t="s">
        <v>375</v>
      </c>
      <c r="BD122" s="1198" t="s">
        <v>411</v>
      </c>
      <c r="BE122" s="1198" t="s">
        <v>1299</v>
      </c>
      <c r="BF122" s="1198" t="s">
        <v>1300</v>
      </c>
      <c r="BH122" s="1198" t="s">
        <v>409</v>
      </c>
      <c r="BI122" s="1198" t="s">
        <v>410</v>
      </c>
      <c r="BJ122" s="1198" t="s">
        <v>375</v>
      </c>
      <c r="BK122" s="1198" t="s">
        <v>411</v>
      </c>
      <c r="BL122" s="1198" t="s">
        <v>1299</v>
      </c>
      <c r="BM122" s="1198" t="s">
        <v>1300</v>
      </c>
      <c r="BO122" s="1198" t="s">
        <v>409</v>
      </c>
      <c r="BP122" s="1198" t="s">
        <v>410</v>
      </c>
      <c r="BQ122" s="1198" t="s">
        <v>375</v>
      </c>
      <c r="BR122" s="1198" t="s">
        <v>411</v>
      </c>
      <c r="BS122" s="1198" t="s">
        <v>1299</v>
      </c>
      <c r="BT122" s="1198" t="s">
        <v>1300</v>
      </c>
      <c r="BU122" s="1213"/>
    </row>
    <row r="123" spans="15:73">
      <c r="O123" s="1212"/>
      <c r="P123" s="1230" t="s">
        <v>1301</v>
      </c>
      <c r="Q123" s="1230" t="s">
        <v>1302</v>
      </c>
      <c r="R123" s="1200">
        <v>245760</v>
      </c>
      <c r="S123" s="1200">
        <v>255090</v>
      </c>
      <c r="T123" s="1200">
        <v>185370</v>
      </c>
      <c r="U123" s="1200">
        <v>197500</v>
      </c>
      <c r="W123" s="1230" t="s">
        <v>1301</v>
      </c>
      <c r="X123" s="1230" t="s">
        <v>1302</v>
      </c>
      <c r="Y123" s="1200">
        <v>245760</v>
      </c>
      <c r="Z123" s="1200">
        <v>255090</v>
      </c>
      <c r="AA123" s="1200">
        <v>185370</v>
      </c>
      <c r="AB123" s="1200">
        <v>197500</v>
      </c>
      <c r="AD123" s="1230" t="s">
        <v>1301</v>
      </c>
      <c r="AE123" s="1230" t="s">
        <v>1302</v>
      </c>
      <c r="AF123" s="1200">
        <v>206650</v>
      </c>
      <c r="AG123" s="1200">
        <v>214520</v>
      </c>
      <c r="AH123" s="1200">
        <v>157640</v>
      </c>
      <c r="AI123" s="1200">
        <v>167530</v>
      </c>
      <c r="AK123" s="1230" t="s">
        <v>1301</v>
      </c>
      <c r="AL123" s="1230" t="s">
        <v>1302</v>
      </c>
      <c r="AM123" s="1200">
        <v>206650</v>
      </c>
      <c r="AN123" s="1200">
        <v>214520</v>
      </c>
      <c r="AO123" s="1200">
        <v>157640</v>
      </c>
      <c r="AP123" s="1200">
        <v>167530</v>
      </c>
      <c r="AQ123" s="1213"/>
      <c r="AS123" s="1212"/>
      <c r="AT123" s="1230" t="s">
        <v>1301</v>
      </c>
      <c r="AU123" s="1230" t="s">
        <v>1302</v>
      </c>
      <c r="AV123" s="1200">
        <v>245760</v>
      </c>
      <c r="AW123" s="1200">
        <v>255090</v>
      </c>
      <c r="AX123" s="1200">
        <v>185370</v>
      </c>
      <c r="AY123" s="1200">
        <v>197500</v>
      </c>
      <c r="BA123" s="1230" t="s">
        <v>1301</v>
      </c>
      <c r="BB123" s="1230" t="s">
        <v>1302</v>
      </c>
      <c r="BC123" s="1200">
        <v>245760</v>
      </c>
      <c r="BD123" s="1200">
        <v>255090</v>
      </c>
      <c r="BE123" s="1200">
        <v>185370</v>
      </c>
      <c r="BF123" s="1200">
        <v>197500</v>
      </c>
      <c r="BH123" s="1230" t="s">
        <v>1301</v>
      </c>
      <c r="BI123" s="1230" t="s">
        <v>1302</v>
      </c>
      <c r="BJ123" s="1200">
        <v>206650</v>
      </c>
      <c r="BK123" s="1200">
        <v>214520</v>
      </c>
      <c r="BL123" s="1200">
        <v>157640</v>
      </c>
      <c r="BM123" s="1200">
        <v>167530</v>
      </c>
      <c r="BO123" s="1230" t="s">
        <v>1301</v>
      </c>
      <c r="BP123" s="1230" t="s">
        <v>1302</v>
      </c>
      <c r="BQ123" s="1200">
        <v>206650</v>
      </c>
      <c r="BR123" s="1200">
        <v>214520</v>
      </c>
      <c r="BS123" s="1200">
        <v>157640</v>
      </c>
      <c r="BT123" s="1200">
        <v>167530</v>
      </c>
      <c r="BU123" s="1213"/>
    </row>
    <row r="124" spans="15:73">
      <c r="O124" s="1212"/>
      <c r="P124" s="1230" t="s">
        <v>1303</v>
      </c>
      <c r="Q124" s="1230" t="s">
        <v>412</v>
      </c>
      <c r="R124" s="1200">
        <v>297290</v>
      </c>
      <c r="S124" s="1200">
        <v>265470</v>
      </c>
      <c r="T124" s="1200">
        <v>199430</v>
      </c>
      <c r="U124" s="1200">
        <v>215460</v>
      </c>
      <c r="W124" s="1230" t="s">
        <v>1303</v>
      </c>
      <c r="X124" s="1230" t="s">
        <v>412</v>
      </c>
      <c r="Y124" s="1200">
        <v>297290</v>
      </c>
      <c r="Z124" s="1200">
        <v>265470</v>
      </c>
      <c r="AA124" s="1200">
        <v>199430</v>
      </c>
      <c r="AB124" s="1200">
        <v>215460</v>
      </c>
      <c r="AD124" s="1230" t="s">
        <v>1303</v>
      </c>
      <c r="AE124" s="1230" t="s">
        <v>412</v>
      </c>
      <c r="AF124" s="1200">
        <v>244400</v>
      </c>
      <c r="AG124" s="1200">
        <v>216640</v>
      </c>
      <c r="AH124" s="1200">
        <v>164180</v>
      </c>
      <c r="AI124" s="1200">
        <v>177380</v>
      </c>
      <c r="AK124" s="1230" t="s">
        <v>1303</v>
      </c>
      <c r="AL124" s="1230" t="s">
        <v>412</v>
      </c>
      <c r="AM124" s="1200">
        <v>244400</v>
      </c>
      <c r="AN124" s="1200">
        <v>216640</v>
      </c>
      <c r="AO124" s="1200">
        <v>164180</v>
      </c>
      <c r="AP124" s="1200">
        <v>177380</v>
      </c>
      <c r="AQ124" s="1213"/>
      <c r="AS124" s="1212"/>
      <c r="AT124" s="1230" t="s">
        <v>1303</v>
      </c>
      <c r="AU124" s="1230" t="s">
        <v>412</v>
      </c>
      <c r="AV124" s="1200">
        <v>297290</v>
      </c>
      <c r="AW124" s="1200">
        <v>265470</v>
      </c>
      <c r="AX124" s="1200">
        <v>199430</v>
      </c>
      <c r="AY124" s="1200">
        <v>215460</v>
      </c>
      <c r="BA124" s="1230" t="s">
        <v>1303</v>
      </c>
      <c r="BB124" s="1230" t="s">
        <v>412</v>
      </c>
      <c r="BC124" s="1200">
        <v>297290</v>
      </c>
      <c r="BD124" s="1200">
        <v>265470</v>
      </c>
      <c r="BE124" s="1200">
        <v>199430</v>
      </c>
      <c r="BF124" s="1200">
        <v>215460</v>
      </c>
      <c r="BH124" s="1230" t="s">
        <v>1303</v>
      </c>
      <c r="BI124" s="1230" t="s">
        <v>412</v>
      </c>
      <c r="BJ124" s="1200">
        <v>244400</v>
      </c>
      <c r="BK124" s="1200">
        <v>216640</v>
      </c>
      <c r="BL124" s="1200">
        <v>164180</v>
      </c>
      <c r="BM124" s="1200">
        <v>177380</v>
      </c>
      <c r="BO124" s="1230" t="s">
        <v>1303</v>
      </c>
      <c r="BP124" s="1230" t="s">
        <v>412</v>
      </c>
      <c r="BQ124" s="1200">
        <v>244400</v>
      </c>
      <c r="BR124" s="1200">
        <v>216640</v>
      </c>
      <c r="BS124" s="1200">
        <v>164180</v>
      </c>
      <c r="BT124" s="1200">
        <v>177380</v>
      </c>
      <c r="BU124" s="1213"/>
    </row>
    <row r="125" spans="15:73">
      <c r="O125" s="1212"/>
      <c r="P125" s="1837" t="s">
        <v>255</v>
      </c>
      <c r="Q125" s="1230" t="s">
        <v>413</v>
      </c>
      <c r="R125" s="1200">
        <v>385780</v>
      </c>
      <c r="S125" s="1200">
        <v>422180</v>
      </c>
      <c r="T125" s="1200">
        <v>351180</v>
      </c>
      <c r="U125" s="1200">
        <v>379490</v>
      </c>
      <c r="W125" s="1837" t="s">
        <v>255</v>
      </c>
      <c r="X125" s="1230" t="s">
        <v>413</v>
      </c>
      <c r="Y125" s="1200">
        <v>385780</v>
      </c>
      <c r="Z125" s="1200">
        <v>422180</v>
      </c>
      <c r="AA125" s="1200">
        <v>351180</v>
      </c>
      <c r="AB125" s="1200">
        <v>379490</v>
      </c>
      <c r="AD125" s="1837" t="s">
        <v>255</v>
      </c>
      <c r="AE125" s="1230" t="s">
        <v>413</v>
      </c>
      <c r="AF125" s="1200">
        <v>316990</v>
      </c>
      <c r="AG125" s="1200">
        <v>344340</v>
      </c>
      <c r="AH125" s="1200">
        <v>288930</v>
      </c>
      <c r="AI125" s="1200">
        <v>312240</v>
      </c>
      <c r="AK125" s="1837" t="s">
        <v>255</v>
      </c>
      <c r="AL125" s="1230" t="s">
        <v>413</v>
      </c>
      <c r="AM125" s="1200">
        <v>316990</v>
      </c>
      <c r="AN125" s="1200">
        <v>344340</v>
      </c>
      <c r="AO125" s="1200">
        <v>288930</v>
      </c>
      <c r="AP125" s="1200">
        <v>312240</v>
      </c>
      <c r="AQ125" s="1213"/>
      <c r="AS125" s="1212"/>
      <c r="AT125" s="1837" t="s">
        <v>255</v>
      </c>
      <c r="AU125" s="1230" t="s">
        <v>413</v>
      </c>
      <c r="AV125" s="1200">
        <v>385780</v>
      </c>
      <c r="AW125" s="1200">
        <v>422180</v>
      </c>
      <c r="AX125" s="1200">
        <v>351180</v>
      </c>
      <c r="AY125" s="1200">
        <v>379490</v>
      </c>
      <c r="BA125" s="1837" t="s">
        <v>255</v>
      </c>
      <c r="BB125" s="1230" t="s">
        <v>413</v>
      </c>
      <c r="BC125" s="1200">
        <v>385780</v>
      </c>
      <c r="BD125" s="1200">
        <v>422180</v>
      </c>
      <c r="BE125" s="1200">
        <v>351180</v>
      </c>
      <c r="BF125" s="1200">
        <v>379490</v>
      </c>
      <c r="BH125" s="1837" t="s">
        <v>255</v>
      </c>
      <c r="BI125" s="1230" t="s">
        <v>413</v>
      </c>
      <c r="BJ125" s="1200">
        <v>316990</v>
      </c>
      <c r="BK125" s="1200">
        <v>344340</v>
      </c>
      <c r="BL125" s="1200">
        <v>288930</v>
      </c>
      <c r="BM125" s="1200">
        <v>312240</v>
      </c>
      <c r="BO125" s="1837" t="s">
        <v>255</v>
      </c>
      <c r="BP125" s="1230" t="s">
        <v>413</v>
      </c>
      <c r="BQ125" s="1200">
        <v>316990</v>
      </c>
      <c r="BR125" s="1200">
        <v>344340</v>
      </c>
      <c r="BS125" s="1200">
        <v>288930</v>
      </c>
      <c r="BT125" s="1200">
        <v>312240</v>
      </c>
      <c r="BU125" s="1213"/>
    </row>
    <row r="126" spans="15:73">
      <c r="O126" s="1212"/>
      <c r="P126" s="1839"/>
      <c r="Q126" s="1230" t="s">
        <v>414</v>
      </c>
      <c r="R126" s="1200">
        <v>408800</v>
      </c>
      <c r="S126" s="1200">
        <v>447320</v>
      </c>
      <c r="T126" s="1200">
        <v>372090</v>
      </c>
      <c r="U126" s="1200">
        <v>402080</v>
      </c>
      <c r="W126" s="1839"/>
      <c r="X126" s="1230" t="s">
        <v>414</v>
      </c>
      <c r="Y126" s="1200">
        <v>408800</v>
      </c>
      <c r="Z126" s="1200">
        <v>447320</v>
      </c>
      <c r="AA126" s="1200">
        <v>372090</v>
      </c>
      <c r="AB126" s="1200">
        <v>402080</v>
      </c>
      <c r="AD126" s="1839"/>
      <c r="AE126" s="1230" t="s">
        <v>414</v>
      </c>
      <c r="AF126" s="1200">
        <v>335910</v>
      </c>
      <c r="AG126" s="1200">
        <v>364860</v>
      </c>
      <c r="AH126" s="1200">
        <v>306140</v>
      </c>
      <c r="AI126" s="1200">
        <v>330830</v>
      </c>
      <c r="AK126" s="1839"/>
      <c r="AL126" s="1230" t="s">
        <v>414</v>
      </c>
      <c r="AM126" s="1200">
        <v>335910</v>
      </c>
      <c r="AN126" s="1200">
        <v>364860</v>
      </c>
      <c r="AO126" s="1200">
        <v>306140</v>
      </c>
      <c r="AP126" s="1200">
        <v>330830</v>
      </c>
      <c r="AQ126" s="1213"/>
      <c r="AS126" s="1212"/>
      <c r="AT126" s="1839"/>
      <c r="AU126" s="1230" t="s">
        <v>414</v>
      </c>
      <c r="AV126" s="1200">
        <v>408800</v>
      </c>
      <c r="AW126" s="1200">
        <v>447320</v>
      </c>
      <c r="AX126" s="1200">
        <v>372090</v>
      </c>
      <c r="AY126" s="1200">
        <v>402080</v>
      </c>
      <c r="BA126" s="1839"/>
      <c r="BB126" s="1230" t="s">
        <v>414</v>
      </c>
      <c r="BC126" s="1200">
        <v>408800</v>
      </c>
      <c r="BD126" s="1200">
        <v>447320</v>
      </c>
      <c r="BE126" s="1200">
        <v>372090</v>
      </c>
      <c r="BF126" s="1200">
        <v>402080</v>
      </c>
      <c r="BH126" s="1839"/>
      <c r="BI126" s="1230" t="s">
        <v>414</v>
      </c>
      <c r="BJ126" s="1200">
        <v>335910</v>
      </c>
      <c r="BK126" s="1200">
        <v>364860</v>
      </c>
      <c r="BL126" s="1200">
        <v>306140</v>
      </c>
      <c r="BM126" s="1200">
        <v>330830</v>
      </c>
      <c r="BO126" s="1839"/>
      <c r="BP126" s="1230" t="s">
        <v>414</v>
      </c>
      <c r="BQ126" s="1200">
        <v>335910</v>
      </c>
      <c r="BR126" s="1200">
        <v>364860</v>
      </c>
      <c r="BS126" s="1200">
        <v>306140</v>
      </c>
      <c r="BT126" s="1200">
        <v>330830</v>
      </c>
      <c r="BU126" s="1213"/>
    </row>
    <row r="127" spans="15:73">
      <c r="O127" s="1212"/>
      <c r="P127" s="1838"/>
      <c r="Q127" s="1230" t="s">
        <v>1304</v>
      </c>
      <c r="R127" s="1200">
        <v>420280</v>
      </c>
      <c r="S127" s="1200">
        <v>459950</v>
      </c>
      <c r="T127" s="1200">
        <v>382570</v>
      </c>
      <c r="U127" s="1200">
        <v>413400</v>
      </c>
      <c r="W127" s="1838"/>
      <c r="X127" s="1230" t="s">
        <v>1304</v>
      </c>
      <c r="Y127" s="1200">
        <v>420280</v>
      </c>
      <c r="Z127" s="1200">
        <v>459950</v>
      </c>
      <c r="AA127" s="1200">
        <v>382570</v>
      </c>
      <c r="AB127" s="1200">
        <v>413400</v>
      </c>
      <c r="AD127" s="1838"/>
      <c r="AE127" s="1230" t="s">
        <v>1304</v>
      </c>
      <c r="AF127" s="1200">
        <v>345350</v>
      </c>
      <c r="AG127" s="1200">
        <v>375170</v>
      </c>
      <c r="AH127" s="1200">
        <v>314770</v>
      </c>
      <c r="AI127" s="1200">
        <v>340150</v>
      </c>
      <c r="AK127" s="1838"/>
      <c r="AL127" s="1230" t="s">
        <v>1304</v>
      </c>
      <c r="AM127" s="1200">
        <v>345350</v>
      </c>
      <c r="AN127" s="1200">
        <v>375170</v>
      </c>
      <c r="AO127" s="1200">
        <v>314770</v>
      </c>
      <c r="AP127" s="1200">
        <v>340150</v>
      </c>
      <c r="AQ127" s="1213"/>
      <c r="AS127" s="1212"/>
      <c r="AT127" s="1838"/>
      <c r="AU127" s="1230" t="s">
        <v>1304</v>
      </c>
      <c r="AV127" s="1200">
        <v>420280</v>
      </c>
      <c r="AW127" s="1200">
        <v>459950</v>
      </c>
      <c r="AX127" s="1200">
        <v>382570</v>
      </c>
      <c r="AY127" s="1200">
        <v>413400</v>
      </c>
      <c r="BA127" s="1838"/>
      <c r="BB127" s="1230" t="s">
        <v>1304</v>
      </c>
      <c r="BC127" s="1200">
        <v>420280</v>
      </c>
      <c r="BD127" s="1200">
        <v>459950</v>
      </c>
      <c r="BE127" s="1200">
        <v>382570</v>
      </c>
      <c r="BF127" s="1200">
        <v>413400</v>
      </c>
      <c r="BH127" s="1838"/>
      <c r="BI127" s="1230" t="s">
        <v>1304</v>
      </c>
      <c r="BJ127" s="1200">
        <v>345350</v>
      </c>
      <c r="BK127" s="1200">
        <v>375170</v>
      </c>
      <c r="BL127" s="1200">
        <v>314770</v>
      </c>
      <c r="BM127" s="1200">
        <v>340150</v>
      </c>
      <c r="BO127" s="1838"/>
      <c r="BP127" s="1230" t="s">
        <v>1304</v>
      </c>
      <c r="BQ127" s="1200">
        <v>345350</v>
      </c>
      <c r="BR127" s="1200">
        <v>375170</v>
      </c>
      <c r="BS127" s="1200">
        <v>314770</v>
      </c>
      <c r="BT127" s="1200">
        <v>340150</v>
      </c>
      <c r="BU127" s="1213"/>
    </row>
    <row r="128" spans="15:73">
      <c r="O128" s="1212"/>
      <c r="P128" s="1837" t="s">
        <v>1467</v>
      </c>
      <c r="Q128" s="1230" t="s">
        <v>1305</v>
      </c>
      <c r="R128" s="1200">
        <v>5330</v>
      </c>
      <c r="S128" s="1200">
        <v>3210</v>
      </c>
      <c r="T128" s="1200">
        <v>5790</v>
      </c>
      <c r="U128" s="1200">
        <v>6260</v>
      </c>
      <c r="W128" s="1837" t="s">
        <v>1467</v>
      </c>
      <c r="X128" s="1230" t="s">
        <v>1305</v>
      </c>
      <c r="Y128" s="1200">
        <v>5330</v>
      </c>
      <c r="Z128" s="1200">
        <v>3210</v>
      </c>
      <c r="AA128" s="1200">
        <v>5790</v>
      </c>
      <c r="AB128" s="1200">
        <v>6260</v>
      </c>
      <c r="AD128" s="1837" t="s">
        <v>1467</v>
      </c>
      <c r="AE128" s="1230" t="s">
        <v>1305</v>
      </c>
      <c r="AF128" s="1200">
        <v>4380</v>
      </c>
      <c r="AG128" s="1200">
        <v>2620</v>
      </c>
      <c r="AH128" s="1200">
        <v>4770</v>
      </c>
      <c r="AI128" s="1200">
        <v>5160</v>
      </c>
      <c r="AK128" s="1837" t="s">
        <v>1467</v>
      </c>
      <c r="AL128" s="1230" t="s">
        <v>1305</v>
      </c>
      <c r="AM128" s="1200">
        <v>4380</v>
      </c>
      <c r="AN128" s="1200">
        <v>2620</v>
      </c>
      <c r="AO128" s="1200">
        <v>4770</v>
      </c>
      <c r="AP128" s="1200">
        <v>5160</v>
      </c>
      <c r="AQ128" s="1213"/>
      <c r="AS128" s="1212"/>
      <c r="AT128" s="1837" t="s">
        <v>1467</v>
      </c>
      <c r="AU128" s="1230" t="s">
        <v>1305</v>
      </c>
      <c r="AV128" s="1200">
        <v>5330</v>
      </c>
      <c r="AW128" s="1200">
        <v>3210</v>
      </c>
      <c r="AX128" s="1200">
        <v>5790</v>
      </c>
      <c r="AY128" s="1200">
        <v>6260</v>
      </c>
      <c r="BA128" s="1837" t="s">
        <v>1467</v>
      </c>
      <c r="BB128" s="1230" t="s">
        <v>1305</v>
      </c>
      <c r="BC128" s="1200">
        <v>5330</v>
      </c>
      <c r="BD128" s="1200">
        <v>3210</v>
      </c>
      <c r="BE128" s="1200">
        <v>5790</v>
      </c>
      <c r="BF128" s="1200">
        <v>6260</v>
      </c>
      <c r="BH128" s="1837" t="s">
        <v>1467</v>
      </c>
      <c r="BI128" s="1230" t="s">
        <v>1305</v>
      </c>
      <c r="BJ128" s="1200">
        <v>4380</v>
      </c>
      <c r="BK128" s="1200">
        <v>2620</v>
      </c>
      <c r="BL128" s="1200">
        <v>4770</v>
      </c>
      <c r="BM128" s="1200">
        <v>5160</v>
      </c>
      <c r="BO128" s="1837" t="s">
        <v>1467</v>
      </c>
      <c r="BP128" s="1230" t="s">
        <v>1305</v>
      </c>
      <c r="BQ128" s="1200">
        <v>4380</v>
      </c>
      <c r="BR128" s="1200">
        <v>2620</v>
      </c>
      <c r="BS128" s="1200">
        <v>4770</v>
      </c>
      <c r="BT128" s="1200">
        <v>5160</v>
      </c>
      <c r="BU128" s="1213"/>
    </row>
    <row r="129" spans="15:73">
      <c r="O129" s="1212"/>
      <c r="P129" s="1839"/>
      <c r="Q129" s="1230" t="s">
        <v>1306</v>
      </c>
      <c r="R129" s="1200">
        <v>7690</v>
      </c>
      <c r="S129" s="1200">
        <v>4660</v>
      </c>
      <c r="T129" s="1200">
        <v>8360</v>
      </c>
      <c r="U129" s="1200">
        <v>9030</v>
      </c>
      <c r="W129" s="1839"/>
      <c r="X129" s="1230" t="s">
        <v>1306</v>
      </c>
      <c r="Y129" s="1200">
        <v>7690</v>
      </c>
      <c r="Z129" s="1200">
        <v>4660</v>
      </c>
      <c r="AA129" s="1200">
        <v>8360</v>
      </c>
      <c r="AB129" s="1200">
        <v>9030</v>
      </c>
      <c r="AD129" s="1839"/>
      <c r="AE129" s="1230" t="s">
        <v>1306</v>
      </c>
      <c r="AF129" s="1200">
        <v>6320</v>
      </c>
      <c r="AG129" s="1200">
        <v>3810</v>
      </c>
      <c r="AH129" s="1200">
        <v>6870</v>
      </c>
      <c r="AI129" s="1200">
        <v>7430</v>
      </c>
      <c r="AK129" s="1839"/>
      <c r="AL129" s="1230" t="s">
        <v>1306</v>
      </c>
      <c r="AM129" s="1200">
        <v>6320</v>
      </c>
      <c r="AN129" s="1200">
        <v>3810</v>
      </c>
      <c r="AO129" s="1200">
        <v>6870</v>
      </c>
      <c r="AP129" s="1200">
        <v>7430</v>
      </c>
      <c r="AQ129" s="1213"/>
      <c r="AS129" s="1212"/>
      <c r="AT129" s="1839"/>
      <c r="AU129" s="1230" t="s">
        <v>1306</v>
      </c>
      <c r="AV129" s="1200">
        <v>7690</v>
      </c>
      <c r="AW129" s="1200">
        <v>4660</v>
      </c>
      <c r="AX129" s="1200">
        <v>8360</v>
      </c>
      <c r="AY129" s="1200">
        <v>9030</v>
      </c>
      <c r="BA129" s="1839"/>
      <c r="BB129" s="1230" t="s">
        <v>1306</v>
      </c>
      <c r="BC129" s="1200">
        <v>7690</v>
      </c>
      <c r="BD129" s="1200">
        <v>4660</v>
      </c>
      <c r="BE129" s="1200">
        <v>8360</v>
      </c>
      <c r="BF129" s="1200">
        <v>9030</v>
      </c>
      <c r="BH129" s="1839"/>
      <c r="BI129" s="1230" t="s">
        <v>1306</v>
      </c>
      <c r="BJ129" s="1200">
        <v>6320</v>
      </c>
      <c r="BK129" s="1200">
        <v>3810</v>
      </c>
      <c r="BL129" s="1200">
        <v>6870</v>
      </c>
      <c r="BM129" s="1200">
        <v>7430</v>
      </c>
      <c r="BO129" s="1839"/>
      <c r="BP129" s="1230" t="s">
        <v>1306</v>
      </c>
      <c r="BQ129" s="1200">
        <v>6320</v>
      </c>
      <c r="BR129" s="1200">
        <v>3810</v>
      </c>
      <c r="BS129" s="1200">
        <v>6870</v>
      </c>
      <c r="BT129" s="1200">
        <v>7430</v>
      </c>
      <c r="BU129" s="1213"/>
    </row>
    <row r="130" spans="15:73">
      <c r="O130" s="1212"/>
      <c r="P130" s="1838"/>
      <c r="Q130" s="1230" t="s">
        <v>413</v>
      </c>
      <c r="R130" s="1200">
        <v>14240</v>
      </c>
      <c r="S130" s="1200">
        <v>8640</v>
      </c>
      <c r="T130" s="1200">
        <v>15460</v>
      </c>
      <c r="U130" s="1200">
        <v>16690</v>
      </c>
      <c r="W130" s="1838"/>
      <c r="X130" s="1230" t="s">
        <v>413</v>
      </c>
      <c r="Y130" s="1200">
        <v>14240</v>
      </c>
      <c r="Z130" s="1200">
        <v>8640</v>
      </c>
      <c r="AA130" s="1200">
        <v>15460</v>
      </c>
      <c r="AB130" s="1200">
        <v>16690</v>
      </c>
      <c r="AD130" s="1838"/>
      <c r="AE130" s="1230" t="s">
        <v>413</v>
      </c>
      <c r="AF130" s="1200">
        <v>11700</v>
      </c>
      <c r="AG130" s="1200">
        <v>7040</v>
      </c>
      <c r="AH130" s="1200">
        <v>12720</v>
      </c>
      <c r="AI130" s="1200">
        <v>13750</v>
      </c>
      <c r="AK130" s="1838"/>
      <c r="AL130" s="1230" t="s">
        <v>413</v>
      </c>
      <c r="AM130" s="1200">
        <v>11700</v>
      </c>
      <c r="AN130" s="1200">
        <v>7040</v>
      </c>
      <c r="AO130" s="1200">
        <v>12720</v>
      </c>
      <c r="AP130" s="1200">
        <v>13750</v>
      </c>
      <c r="AQ130" s="1213"/>
      <c r="AS130" s="1212"/>
      <c r="AT130" s="1838"/>
      <c r="AU130" s="1230" t="s">
        <v>413</v>
      </c>
      <c r="AV130" s="1200">
        <v>14240</v>
      </c>
      <c r="AW130" s="1200">
        <v>8640</v>
      </c>
      <c r="AX130" s="1200">
        <v>15460</v>
      </c>
      <c r="AY130" s="1200">
        <v>16690</v>
      </c>
      <c r="BA130" s="1838"/>
      <c r="BB130" s="1230" t="s">
        <v>413</v>
      </c>
      <c r="BC130" s="1200">
        <v>14240</v>
      </c>
      <c r="BD130" s="1200">
        <v>8640</v>
      </c>
      <c r="BE130" s="1200">
        <v>15460</v>
      </c>
      <c r="BF130" s="1200">
        <v>16690</v>
      </c>
      <c r="BH130" s="1838"/>
      <c r="BI130" s="1230" t="s">
        <v>413</v>
      </c>
      <c r="BJ130" s="1200">
        <v>11700</v>
      </c>
      <c r="BK130" s="1200">
        <v>7040</v>
      </c>
      <c r="BL130" s="1200">
        <v>12720</v>
      </c>
      <c r="BM130" s="1200">
        <v>13750</v>
      </c>
      <c r="BO130" s="1838"/>
      <c r="BP130" s="1230" t="s">
        <v>413</v>
      </c>
      <c r="BQ130" s="1200">
        <v>11700</v>
      </c>
      <c r="BR130" s="1200">
        <v>7040</v>
      </c>
      <c r="BS130" s="1200">
        <v>12720</v>
      </c>
      <c r="BT130" s="1200">
        <v>13750</v>
      </c>
      <c r="BU130" s="1213"/>
    </row>
    <row r="131" spans="15:73">
      <c r="O131" s="1212"/>
      <c r="P131" s="1230" t="s">
        <v>416</v>
      </c>
      <c r="Q131" s="1230" t="s">
        <v>414</v>
      </c>
      <c r="R131" s="1201">
        <v>1460</v>
      </c>
      <c r="S131" s="1201">
        <v>1240</v>
      </c>
      <c r="T131" s="1201">
        <v>1700</v>
      </c>
      <c r="U131" s="1201">
        <v>1830</v>
      </c>
      <c r="W131" s="1230" t="s">
        <v>416</v>
      </c>
      <c r="X131" s="1230" t="s">
        <v>414</v>
      </c>
      <c r="Y131" s="1201">
        <v>1460</v>
      </c>
      <c r="Z131" s="1201">
        <v>1240</v>
      </c>
      <c r="AA131" s="1201">
        <v>1700</v>
      </c>
      <c r="AB131" s="1201">
        <v>1830</v>
      </c>
      <c r="AD131" s="1230" t="s">
        <v>416</v>
      </c>
      <c r="AE131" s="1230" t="s">
        <v>414</v>
      </c>
      <c r="AF131" s="1201">
        <v>1470</v>
      </c>
      <c r="AG131" s="1201">
        <v>1240</v>
      </c>
      <c r="AH131" s="1201">
        <v>1710</v>
      </c>
      <c r="AI131" s="1201">
        <v>1840</v>
      </c>
      <c r="AK131" s="1230" t="s">
        <v>416</v>
      </c>
      <c r="AL131" s="1230" t="s">
        <v>414</v>
      </c>
      <c r="AM131" s="1201">
        <v>1470</v>
      </c>
      <c r="AN131" s="1201">
        <v>1240</v>
      </c>
      <c r="AO131" s="1201">
        <v>1710</v>
      </c>
      <c r="AP131" s="1201">
        <v>1840</v>
      </c>
      <c r="AQ131" s="1213"/>
      <c r="AS131" s="1212"/>
      <c r="AT131" s="1230" t="s">
        <v>416</v>
      </c>
      <c r="AU131" s="1230" t="s">
        <v>414</v>
      </c>
      <c r="AV131" s="1201">
        <v>1460</v>
      </c>
      <c r="AW131" s="1201">
        <v>1240</v>
      </c>
      <c r="AX131" s="1201">
        <v>1700</v>
      </c>
      <c r="AY131" s="1201">
        <v>1830</v>
      </c>
      <c r="BA131" s="1230" t="s">
        <v>416</v>
      </c>
      <c r="BB131" s="1230" t="s">
        <v>414</v>
      </c>
      <c r="BC131" s="1201">
        <v>1460</v>
      </c>
      <c r="BD131" s="1201">
        <v>1240</v>
      </c>
      <c r="BE131" s="1201">
        <v>1700</v>
      </c>
      <c r="BF131" s="1201">
        <v>1830</v>
      </c>
      <c r="BH131" s="1230" t="s">
        <v>416</v>
      </c>
      <c r="BI131" s="1230" t="s">
        <v>414</v>
      </c>
      <c r="BJ131" s="1201">
        <v>1470</v>
      </c>
      <c r="BK131" s="1201">
        <v>1240</v>
      </c>
      <c r="BL131" s="1201">
        <v>1710</v>
      </c>
      <c r="BM131" s="1201">
        <v>1840</v>
      </c>
      <c r="BO131" s="1230" t="s">
        <v>416</v>
      </c>
      <c r="BP131" s="1230" t="s">
        <v>414</v>
      </c>
      <c r="BQ131" s="1201">
        <v>1470</v>
      </c>
      <c r="BR131" s="1201">
        <v>1240</v>
      </c>
      <c r="BS131" s="1201">
        <v>1710</v>
      </c>
      <c r="BT131" s="1201">
        <v>1840</v>
      </c>
      <c r="BU131" s="1213"/>
    </row>
    <row r="132" spans="15:73">
      <c r="O132" s="1212"/>
      <c r="P132" s="1230" t="s">
        <v>415</v>
      </c>
      <c r="Q132" s="1230" t="s">
        <v>1307</v>
      </c>
      <c r="R132" s="1201">
        <v>13050</v>
      </c>
      <c r="S132" s="1201">
        <v>13050</v>
      </c>
      <c r="T132" s="1201">
        <v>13050</v>
      </c>
      <c r="U132" s="1201">
        <v>13050</v>
      </c>
      <c r="W132" s="1230" t="s">
        <v>415</v>
      </c>
      <c r="X132" s="1230" t="s">
        <v>1307</v>
      </c>
      <c r="Y132" s="1201">
        <v>13050</v>
      </c>
      <c r="Z132" s="1201">
        <v>13050</v>
      </c>
      <c r="AA132" s="1201">
        <v>13050</v>
      </c>
      <c r="AB132" s="1201">
        <v>13050</v>
      </c>
      <c r="AD132" s="1230" t="s">
        <v>415</v>
      </c>
      <c r="AE132" s="1230" t="s">
        <v>1307</v>
      </c>
      <c r="AF132" s="1201">
        <v>13050</v>
      </c>
      <c r="AG132" s="1201">
        <v>13050</v>
      </c>
      <c r="AH132" s="1201">
        <v>13050</v>
      </c>
      <c r="AI132" s="1201">
        <v>13050</v>
      </c>
      <c r="AK132" s="1230" t="s">
        <v>415</v>
      </c>
      <c r="AL132" s="1230" t="s">
        <v>1307</v>
      </c>
      <c r="AM132" s="1201">
        <v>13050</v>
      </c>
      <c r="AN132" s="1201">
        <v>13050</v>
      </c>
      <c r="AO132" s="1201">
        <v>13050</v>
      </c>
      <c r="AP132" s="1201">
        <v>13050</v>
      </c>
      <c r="AQ132" s="1213"/>
      <c r="AS132" s="1212"/>
      <c r="AT132" s="1230" t="s">
        <v>415</v>
      </c>
      <c r="AU132" s="1230" t="s">
        <v>1307</v>
      </c>
      <c r="AV132" s="1201">
        <v>13050</v>
      </c>
      <c r="AW132" s="1201">
        <v>13050</v>
      </c>
      <c r="AX132" s="1201">
        <v>13050</v>
      </c>
      <c r="AY132" s="1201">
        <v>13050</v>
      </c>
      <c r="BA132" s="1230" t="s">
        <v>415</v>
      </c>
      <c r="BB132" s="1230" t="s">
        <v>1307</v>
      </c>
      <c r="BC132" s="1201">
        <v>13050</v>
      </c>
      <c r="BD132" s="1201">
        <v>13050</v>
      </c>
      <c r="BE132" s="1201">
        <v>13050</v>
      </c>
      <c r="BF132" s="1201">
        <v>13050</v>
      </c>
      <c r="BH132" s="1230" t="s">
        <v>415</v>
      </c>
      <c r="BI132" s="1230" t="s">
        <v>1307</v>
      </c>
      <c r="BJ132" s="1201">
        <v>13050</v>
      </c>
      <c r="BK132" s="1201">
        <v>13050</v>
      </c>
      <c r="BL132" s="1201">
        <v>13050</v>
      </c>
      <c r="BM132" s="1201">
        <v>13050</v>
      </c>
      <c r="BO132" s="1230" t="s">
        <v>415</v>
      </c>
      <c r="BP132" s="1230" t="s">
        <v>1307</v>
      </c>
      <c r="BQ132" s="1201">
        <v>13050</v>
      </c>
      <c r="BR132" s="1201">
        <v>13050</v>
      </c>
      <c r="BS132" s="1201">
        <v>13050</v>
      </c>
      <c r="BT132" s="1201">
        <v>13050</v>
      </c>
      <c r="BU132" s="1213"/>
    </row>
    <row r="133" spans="15:73">
      <c r="O133" s="1212"/>
      <c r="P133" s="1840" t="s">
        <v>408</v>
      </c>
      <c r="Q133" s="1837" t="s">
        <v>1308</v>
      </c>
      <c r="R133" s="1204">
        <v>151390</v>
      </c>
      <c r="S133" s="1204">
        <v>212140</v>
      </c>
      <c r="T133" s="1204">
        <v>145770</v>
      </c>
      <c r="U133" s="1204">
        <v>157220</v>
      </c>
      <c r="W133" s="1840" t="s">
        <v>408</v>
      </c>
      <c r="X133" s="1837" t="s">
        <v>1308</v>
      </c>
      <c r="Y133" s="1204">
        <v>151390</v>
      </c>
      <c r="Z133" s="1204">
        <v>212140</v>
      </c>
      <c r="AA133" s="1204">
        <v>145770</v>
      </c>
      <c r="AB133" s="1204">
        <v>157220</v>
      </c>
      <c r="AD133" s="1840" t="s">
        <v>408</v>
      </c>
      <c r="AE133" s="1837" t="s">
        <v>1308</v>
      </c>
      <c r="AF133" s="1204">
        <v>124490</v>
      </c>
      <c r="AG133" s="1204">
        <v>173110</v>
      </c>
      <c r="AH133" s="1204">
        <v>120130</v>
      </c>
      <c r="AI133" s="1204">
        <v>129510</v>
      </c>
      <c r="AK133" s="1840" t="s">
        <v>408</v>
      </c>
      <c r="AL133" s="1837" t="s">
        <v>1308</v>
      </c>
      <c r="AM133" s="1204">
        <v>124490</v>
      </c>
      <c r="AN133" s="1204">
        <v>173110</v>
      </c>
      <c r="AO133" s="1204">
        <v>120130</v>
      </c>
      <c r="AP133" s="1204">
        <v>129510</v>
      </c>
      <c r="AQ133" s="1213"/>
      <c r="AS133" s="1212"/>
      <c r="AT133" s="1840" t="s">
        <v>408</v>
      </c>
      <c r="AU133" s="1837" t="s">
        <v>1308</v>
      </c>
      <c r="AV133" s="1204">
        <v>151390</v>
      </c>
      <c r="AW133" s="1204">
        <v>212140</v>
      </c>
      <c r="AX133" s="1204">
        <v>145770</v>
      </c>
      <c r="AY133" s="1204">
        <v>157220</v>
      </c>
      <c r="BA133" s="1840" t="s">
        <v>408</v>
      </c>
      <c r="BB133" s="1837" t="s">
        <v>1308</v>
      </c>
      <c r="BC133" s="1204">
        <v>151390</v>
      </c>
      <c r="BD133" s="1204">
        <v>212140</v>
      </c>
      <c r="BE133" s="1204">
        <v>145770</v>
      </c>
      <c r="BF133" s="1204">
        <v>157220</v>
      </c>
      <c r="BH133" s="1840" t="s">
        <v>408</v>
      </c>
      <c r="BI133" s="1837" t="s">
        <v>1308</v>
      </c>
      <c r="BJ133" s="1204">
        <v>124490</v>
      </c>
      <c r="BK133" s="1204">
        <v>173110</v>
      </c>
      <c r="BL133" s="1204">
        <v>120130</v>
      </c>
      <c r="BM133" s="1204">
        <v>129510</v>
      </c>
      <c r="BO133" s="1840" t="s">
        <v>408</v>
      </c>
      <c r="BP133" s="1837" t="s">
        <v>1308</v>
      </c>
      <c r="BQ133" s="1204">
        <v>124490</v>
      </c>
      <c r="BR133" s="1204">
        <v>173110</v>
      </c>
      <c r="BS133" s="1204">
        <v>120130</v>
      </c>
      <c r="BT133" s="1204">
        <v>129510</v>
      </c>
      <c r="BU133" s="1213"/>
    </row>
    <row r="134" spans="15:73">
      <c r="O134" s="1212"/>
      <c r="P134" s="1841"/>
      <c r="Q134" s="1838"/>
      <c r="R134" s="1205">
        <f>R133/100000</f>
        <v>1.5139</v>
      </c>
      <c r="S134" s="1205">
        <f t="shared" ref="S134:U134" si="104">S133/100000</f>
        <v>2.1214</v>
      </c>
      <c r="T134" s="1205">
        <f t="shared" si="104"/>
        <v>1.4577</v>
      </c>
      <c r="U134" s="1205">
        <f t="shared" si="104"/>
        <v>1.5722</v>
      </c>
      <c r="W134" s="1841"/>
      <c r="X134" s="1838"/>
      <c r="Y134" s="1205">
        <f>Y133/100000</f>
        <v>1.5139</v>
      </c>
      <c r="Z134" s="1205">
        <f t="shared" ref="Z134" si="105">Z133/100000</f>
        <v>2.1214</v>
      </c>
      <c r="AA134" s="1205">
        <f t="shared" ref="AA134" si="106">AA133/100000</f>
        <v>1.4577</v>
      </c>
      <c r="AB134" s="1205">
        <f t="shared" ref="AB134" si="107">AB133/100000</f>
        <v>1.5722</v>
      </c>
      <c r="AD134" s="1841"/>
      <c r="AE134" s="1838"/>
      <c r="AF134" s="1205">
        <f>AF133/100000</f>
        <v>1.2448999999999999</v>
      </c>
      <c r="AG134" s="1205">
        <f t="shared" ref="AG134" si="108">AG133/100000</f>
        <v>1.7311000000000001</v>
      </c>
      <c r="AH134" s="1205">
        <f t="shared" ref="AH134" si="109">AH133/100000</f>
        <v>1.2013</v>
      </c>
      <c r="AI134" s="1205">
        <f t="shared" ref="AI134" si="110">AI133/100000</f>
        <v>1.2950999999999999</v>
      </c>
      <c r="AK134" s="1841"/>
      <c r="AL134" s="1838"/>
      <c r="AM134" s="1205">
        <f>AM133/100000</f>
        <v>1.2448999999999999</v>
      </c>
      <c r="AN134" s="1205">
        <f t="shared" ref="AN134" si="111">AN133/100000</f>
        <v>1.7311000000000001</v>
      </c>
      <c r="AO134" s="1205">
        <f t="shared" ref="AO134" si="112">AO133/100000</f>
        <v>1.2013</v>
      </c>
      <c r="AP134" s="1205">
        <f t="shared" ref="AP134" si="113">AP133/100000</f>
        <v>1.2950999999999999</v>
      </c>
      <c r="AQ134" s="1213"/>
      <c r="AS134" s="1212"/>
      <c r="AT134" s="1841"/>
      <c r="AU134" s="1838"/>
      <c r="AV134" s="1205">
        <f>AV133/100000</f>
        <v>1.5139</v>
      </c>
      <c r="AW134" s="1205">
        <f t="shared" ref="AW134:AY134" si="114">AW133/100000</f>
        <v>2.1214</v>
      </c>
      <c r="AX134" s="1205">
        <f t="shared" si="114"/>
        <v>1.4577</v>
      </c>
      <c r="AY134" s="1205">
        <f t="shared" si="114"/>
        <v>1.5722</v>
      </c>
      <c r="BA134" s="1841"/>
      <c r="BB134" s="1838"/>
      <c r="BC134" s="1205">
        <f>BC133/100000</f>
        <v>1.5139</v>
      </c>
      <c r="BD134" s="1205">
        <f t="shared" ref="BD134:BF134" si="115">BD133/100000</f>
        <v>2.1214</v>
      </c>
      <c r="BE134" s="1205">
        <f t="shared" si="115"/>
        <v>1.4577</v>
      </c>
      <c r="BF134" s="1205">
        <f t="shared" si="115"/>
        <v>1.5722</v>
      </c>
      <c r="BH134" s="1841"/>
      <c r="BI134" s="1838"/>
      <c r="BJ134" s="1205">
        <f>BJ133/100000</f>
        <v>1.2448999999999999</v>
      </c>
      <c r="BK134" s="1205">
        <f t="shared" ref="BK134:BM134" si="116">BK133/100000</f>
        <v>1.7311000000000001</v>
      </c>
      <c r="BL134" s="1205">
        <f t="shared" si="116"/>
        <v>1.2013</v>
      </c>
      <c r="BM134" s="1205">
        <f t="shared" si="116"/>
        <v>1.2950999999999999</v>
      </c>
      <c r="BO134" s="1841"/>
      <c r="BP134" s="1838"/>
      <c r="BQ134" s="1205">
        <f>BQ133/100000</f>
        <v>1.2448999999999999</v>
      </c>
      <c r="BR134" s="1205">
        <f t="shared" ref="BR134:BT134" si="117">BR133/100000</f>
        <v>1.7311000000000001</v>
      </c>
      <c r="BS134" s="1205">
        <f t="shared" si="117"/>
        <v>1.2013</v>
      </c>
      <c r="BT134" s="1205">
        <f t="shared" si="117"/>
        <v>1.2950999999999999</v>
      </c>
      <c r="BU134" s="1213"/>
    </row>
    <row r="135" spans="15:73">
      <c r="O135" s="1212"/>
      <c r="P135" s="1216"/>
      <c r="R135" s="1217">
        <f>R123+R124+R125+R130+R131</f>
        <v>944530</v>
      </c>
      <c r="S135" s="1217">
        <f t="shared" ref="S135:U135" si="118">S123+S124+S125+S130+S131</f>
        <v>952620</v>
      </c>
      <c r="T135" s="1217">
        <f t="shared" si="118"/>
        <v>753140</v>
      </c>
      <c r="U135" s="1217">
        <f t="shared" si="118"/>
        <v>810970</v>
      </c>
      <c r="W135" s="1216"/>
      <c r="Y135" s="1217">
        <f>Y123+Y124+Y125+Y130+Y131</f>
        <v>944530</v>
      </c>
      <c r="Z135" s="1217">
        <f t="shared" ref="Z135:AB135" si="119">Z123+Z124+Z125+Z130+Z131</f>
        <v>952620</v>
      </c>
      <c r="AA135" s="1217">
        <f t="shared" si="119"/>
        <v>753140</v>
      </c>
      <c r="AB135" s="1217">
        <f t="shared" si="119"/>
        <v>810970</v>
      </c>
      <c r="AD135" s="1216"/>
      <c r="AF135" s="1217">
        <f>AF123+AF124+AF125+AF130+AF131</f>
        <v>781210</v>
      </c>
      <c r="AG135" s="1217">
        <f t="shared" ref="AG135:AI135" si="120">AG123+AG124+AG125+AG130+AG131</f>
        <v>783780</v>
      </c>
      <c r="AH135" s="1217">
        <f t="shared" si="120"/>
        <v>625180</v>
      </c>
      <c r="AI135" s="1217">
        <f t="shared" si="120"/>
        <v>672740</v>
      </c>
      <c r="AM135" s="1217">
        <f>AM123+AM124+AM125+AM130+AM131</f>
        <v>781210</v>
      </c>
      <c r="AN135" s="1217">
        <f t="shared" ref="AN135:AP135" si="121">AN123+AN124+AN125+AN130+AN131</f>
        <v>783780</v>
      </c>
      <c r="AO135" s="1217">
        <f t="shared" si="121"/>
        <v>625180</v>
      </c>
      <c r="AP135" s="1217">
        <f t="shared" si="121"/>
        <v>672740</v>
      </c>
      <c r="AQ135" s="1213"/>
      <c r="AS135" s="1212"/>
      <c r="AT135" s="1216"/>
      <c r="AV135" s="1217">
        <f>AV123+AV124+AV125+AV130+AV131</f>
        <v>944530</v>
      </c>
      <c r="AW135" s="1217">
        <f t="shared" ref="AW135:AY135" si="122">AW123+AW124+AW125+AW130+AW131</f>
        <v>952620</v>
      </c>
      <c r="AX135" s="1217">
        <f t="shared" si="122"/>
        <v>753140</v>
      </c>
      <c r="AY135" s="1217">
        <f t="shared" si="122"/>
        <v>810970</v>
      </c>
      <c r="BA135" s="1216"/>
      <c r="BC135" s="1217">
        <f>BC123+BC124+BC125+BC130+BC131</f>
        <v>944530</v>
      </c>
      <c r="BD135" s="1217">
        <f t="shared" ref="BD135:BF135" si="123">BD123+BD124+BD125+BD130+BD131</f>
        <v>952620</v>
      </c>
      <c r="BE135" s="1217">
        <f t="shared" si="123"/>
        <v>753140</v>
      </c>
      <c r="BF135" s="1217">
        <f t="shared" si="123"/>
        <v>810970</v>
      </c>
      <c r="BH135" s="1216"/>
      <c r="BJ135" s="1217">
        <f>BJ123+BJ124+BJ125+BJ130+BJ131</f>
        <v>781210</v>
      </c>
      <c r="BK135" s="1217">
        <f t="shared" ref="BK135:BM135" si="124">BK123+BK124+BK125+BK130+BK131</f>
        <v>783780</v>
      </c>
      <c r="BL135" s="1217">
        <f t="shared" si="124"/>
        <v>625180</v>
      </c>
      <c r="BM135" s="1217">
        <f t="shared" si="124"/>
        <v>672740</v>
      </c>
      <c r="BQ135" s="1217">
        <f>BQ123+BQ124+BQ125+BQ130+BQ131</f>
        <v>781210</v>
      </c>
      <c r="BR135" s="1217">
        <f t="shared" ref="BR135:BT135" si="125">BR123+BR124+BR125+BR130+BR131</f>
        <v>783780</v>
      </c>
      <c r="BS135" s="1217">
        <f t="shared" si="125"/>
        <v>625180</v>
      </c>
      <c r="BT135" s="1217">
        <f t="shared" si="125"/>
        <v>672740</v>
      </c>
      <c r="BU135" s="1213"/>
    </row>
    <row r="136" spans="15:73">
      <c r="O136" s="1212"/>
      <c r="AQ136" s="1213"/>
      <c r="AS136" s="1212"/>
      <c r="BU136" s="1213"/>
    </row>
    <row r="137" spans="15:73">
      <c r="O137" s="1212"/>
      <c r="P137" s="1842" t="s">
        <v>1296</v>
      </c>
      <c r="Q137" s="1842"/>
      <c r="W137" s="1842" t="s">
        <v>1469</v>
      </c>
      <c r="X137" s="1842"/>
      <c r="AD137" s="1842" t="s">
        <v>1311</v>
      </c>
      <c r="AE137" s="1842"/>
      <c r="AK137" s="1842" t="s">
        <v>1470</v>
      </c>
      <c r="AL137" s="1842"/>
      <c r="AQ137" s="1213"/>
      <c r="AS137" s="1212"/>
      <c r="AT137" s="1842" t="s">
        <v>1296</v>
      </c>
      <c r="AU137" s="1842"/>
      <c r="BA137" s="1842" t="s">
        <v>1469</v>
      </c>
      <c r="BB137" s="1842"/>
      <c r="BH137" s="1842" t="s">
        <v>1311</v>
      </c>
      <c r="BI137" s="1842"/>
      <c r="BO137" s="1842" t="s">
        <v>1470</v>
      </c>
      <c r="BP137" s="1842"/>
      <c r="BU137" s="1213"/>
    </row>
    <row r="138" spans="15:73">
      <c r="O138" s="1212"/>
      <c r="P138" s="1843" t="s">
        <v>1297</v>
      </c>
      <c r="Q138" s="1844"/>
      <c r="R138" s="1214"/>
      <c r="S138" s="1214"/>
      <c r="T138" s="1214"/>
      <c r="U138" s="1215" t="s">
        <v>1298</v>
      </c>
      <c r="W138" s="1843" t="s">
        <v>1297</v>
      </c>
      <c r="X138" s="1844"/>
      <c r="Y138" s="1214"/>
      <c r="Z138" s="1214"/>
      <c r="AA138" s="1214"/>
      <c r="AB138" s="1215" t="s">
        <v>1298</v>
      </c>
      <c r="AD138" s="1843" t="s">
        <v>1297</v>
      </c>
      <c r="AE138" s="1844"/>
      <c r="AF138" s="1214"/>
      <c r="AG138" s="1214"/>
      <c r="AH138" s="1214"/>
      <c r="AI138" s="1215" t="s">
        <v>1298</v>
      </c>
      <c r="AK138" s="1843" t="s">
        <v>1297</v>
      </c>
      <c r="AL138" s="1844"/>
      <c r="AM138" s="1214"/>
      <c r="AN138" s="1214"/>
      <c r="AO138" s="1214"/>
      <c r="AP138" s="1215" t="s">
        <v>1298</v>
      </c>
      <c r="AQ138" s="1213"/>
      <c r="AS138" s="1212"/>
      <c r="AT138" s="1843" t="s">
        <v>1297</v>
      </c>
      <c r="AU138" s="1844"/>
      <c r="AV138" s="1214"/>
      <c r="AW138" s="1214"/>
      <c r="AX138" s="1214"/>
      <c r="AY138" s="1215" t="s">
        <v>1298</v>
      </c>
      <c r="BA138" s="1843" t="s">
        <v>1297</v>
      </c>
      <c r="BB138" s="1844"/>
      <c r="BC138" s="1214"/>
      <c r="BD138" s="1214"/>
      <c r="BE138" s="1214"/>
      <c r="BF138" s="1215" t="s">
        <v>1298</v>
      </c>
      <c r="BH138" s="1843" t="s">
        <v>1297</v>
      </c>
      <c r="BI138" s="1844"/>
      <c r="BJ138" s="1214"/>
      <c r="BK138" s="1214"/>
      <c r="BL138" s="1214"/>
      <c r="BM138" s="1215" t="s">
        <v>1298</v>
      </c>
      <c r="BO138" s="1843" t="s">
        <v>1297</v>
      </c>
      <c r="BP138" s="1844"/>
      <c r="BQ138" s="1214"/>
      <c r="BR138" s="1214"/>
      <c r="BS138" s="1214"/>
      <c r="BT138" s="1215" t="s">
        <v>1298</v>
      </c>
      <c r="BU138" s="1213"/>
    </row>
    <row r="139" spans="15:73">
      <c r="O139" s="1212"/>
      <c r="P139" s="1198" t="s">
        <v>409</v>
      </c>
      <c r="Q139" s="1198" t="s">
        <v>410</v>
      </c>
      <c r="R139" s="1198" t="s">
        <v>375</v>
      </c>
      <c r="S139" s="1198" t="s">
        <v>411</v>
      </c>
      <c r="T139" s="1198" t="s">
        <v>1299</v>
      </c>
      <c r="U139" s="1198" t="s">
        <v>1300</v>
      </c>
      <c r="W139" s="1198" t="s">
        <v>409</v>
      </c>
      <c r="X139" s="1198" t="s">
        <v>410</v>
      </c>
      <c r="Y139" s="1198" t="s">
        <v>375</v>
      </c>
      <c r="Z139" s="1198" t="s">
        <v>411</v>
      </c>
      <c r="AA139" s="1198" t="s">
        <v>1299</v>
      </c>
      <c r="AB139" s="1198" t="s">
        <v>1300</v>
      </c>
      <c r="AD139" s="1198" t="s">
        <v>409</v>
      </c>
      <c r="AE139" s="1198" t="s">
        <v>410</v>
      </c>
      <c r="AF139" s="1198" t="s">
        <v>375</v>
      </c>
      <c r="AG139" s="1198" t="s">
        <v>411</v>
      </c>
      <c r="AH139" s="1198" t="s">
        <v>1299</v>
      </c>
      <c r="AI139" s="1198" t="s">
        <v>1300</v>
      </c>
      <c r="AK139" s="1198" t="s">
        <v>409</v>
      </c>
      <c r="AL139" s="1198" t="s">
        <v>410</v>
      </c>
      <c r="AM139" s="1198" t="s">
        <v>375</v>
      </c>
      <c r="AN139" s="1198" t="s">
        <v>411</v>
      </c>
      <c r="AO139" s="1198" t="s">
        <v>1299</v>
      </c>
      <c r="AP139" s="1198" t="s">
        <v>1300</v>
      </c>
      <c r="AQ139" s="1213"/>
      <c r="AS139" s="1212"/>
      <c r="AT139" s="1198" t="s">
        <v>409</v>
      </c>
      <c r="AU139" s="1198" t="s">
        <v>410</v>
      </c>
      <c r="AV139" s="1198" t="s">
        <v>375</v>
      </c>
      <c r="AW139" s="1198" t="s">
        <v>411</v>
      </c>
      <c r="AX139" s="1198" t="s">
        <v>1299</v>
      </c>
      <c r="AY139" s="1198" t="s">
        <v>1300</v>
      </c>
      <c r="BA139" s="1198" t="s">
        <v>409</v>
      </c>
      <c r="BB139" s="1198" t="s">
        <v>410</v>
      </c>
      <c r="BC139" s="1198" t="s">
        <v>375</v>
      </c>
      <c r="BD139" s="1198" t="s">
        <v>411</v>
      </c>
      <c r="BE139" s="1198" t="s">
        <v>1299</v>
      </c>
      <c r="BF139" s="1198" t="s">
        <v>1300</v>
      </c>
      <c r="BH139" s="1198" t="s">
        <v>409</v>
      </c>
      <c r="BI139" s="1198" t="s">
        <v>410</v>
      </c>
      <c r="BJ139" s="1198" t="s">
        <v>375</v>
      </c>
      <c r="BK139" s="1198" t="s">
        <v>411</v>
      </c>
      <c r="BL139" s="1198" t="s">
        <v>1299</v>
      </c>
      <c r="BM139" s="1198" t="s">
        <v>1300</v>
      </c>
      <c r="BO139" s="1198" t="s">
        <v>409</v>
      </c>
      <c r="BP139" s="1198" t="s">
        <v>410</v>
      </c>
      <c r="BQ139" s="1198" t="s">
        <v>375</v>
      </c>
      <c r="BR139" s="1198" t="s">
        <v>411</v>
      </c>
      <c r="BS139" s="1198" t="s">
        <v>1299</v>
      </c>
      <c r="BT139" s="1198" t="s">
        <v>1300</v>
      </c>
      <c r="BU139" s="1213"/>
    </row>
    <row r="140" spans="15:73">
      <c r="O140" s="1212"/>
      <c r="P140" s="1230" t="s">
        <v>1301</v>
      </c>
      <c r="Q140" s="1230" t="s">
        <v>1302</v>
      </c>
      <c r="R140" s="1200">
        <v>344460</v>
      </c>
      <c r="S140" s="1200">
        <v>298610</v>
      </c>
      <c r="T140" s="1200">
        <v>255840</v>
      </c>
      <c r="U140" s="1200">
        <v>273630</v>
      </c>
      <c r="W140" s="1230" t="s">
        <v>1301</v>
      </c>
      <c r="X140" s="1230" t="s">
        <v>1302</v>
      </c>
      <c r="Y140" s="1200">
        <v>344460</v>
      </c>
      <c r="Z140" s="1200">
        <v>298610</v>
      </c>
      <c r="AA140" s="1200">
        <v>255840</v>
      </c>
      <c r="AB140" s="1200">
        <v>273630</v>
      </c>
      <c r="AD140" s="1230" t="s">
        <v>1301</v>
      </c>
      <c r="AE140" s="1230" t="s">
        <v>1302</v>
      </c>
      <c r="AF140" s="1200">
        <v>287090</v>
      </c>
      <c r="AG140" s="1200">
        <v>333610</v>
      </c>
      <c r="AH140" s="1200">
        <v>215150</v>
      </c>
      <c r="AI140" s="1200">
        <v>229660</v>
      </c>
      <c r="AK140" s="1230" t="s">
        <v>1301</v>
      </c>
      <c r="AL140" s="1230" t="s">
        <v>1302</v>
      </c>
      <c r="AM140" s="1200">
        <v>287090</v>
      </c>
      <c r="AN140" s="1200">
        <v>333610</v>
      </c>
      <c r="AO140" s="1200">
        <v>215150</v>
      </c>
      <c r="AP140" s="1200">
        <v>229660</v>
      </c>
      <c r="AQ140" s="1213"/>
      <c r="AS140" s="1212"/>
      <c r="AT140" s="1230" t="s">
        <v>1301</v>
      </c>
      <c r="AU140" s="1230" t="s">
        <v>1302</v>
      </c>
      <c r="AV140" s="1200">
        <v>344460</v>
      </c>
      <c r="AW140" s="1200">
        <v>298610</v>
      </c>
      <c r="AX140" s="1200">
        <v>255840</v>
      </c>
      <c r="AY140" s="1200">
        <v>273630</v>
      </c>
      <c r="BA140" s="1230" t="s">
        <v>1301</v>
      </c>
      <c r="BB140" s="1230" t="s">
        <v>1302</v>
      </c>
      <c r="BC140" s="1200">
        <v>344460</v>
      </c>
      <c r="BD140" s="1200">
        <v>298610</v>
      </c>
      <c r="BE140" s="1200">
        <v>255840</v>
      </c>
      <c r="BF140" s="1200">
        <v>273630</v>
      </c>
      <c r="BH140" s="1230" t="s">
        <v>1301</v>
      </c>
      <c r="BI140" s="1230" t="s">
        <v>1302</v>
      </c>
      <c r="BJ140" s="1200">
        <v>287090</v>
      </c>
      <c r="BK140" s="1200">
        <v>333610</v>
      </c>
      <c r="BL140" s="1200">
        <v>215150</v>
      </c>
      <c r="BM140" s="1200">
        <v>229660</v>
      </c>
      <c r="BO140" s="1230" t="s">
        <v>1301</v>
      </c>
      <c r="BP140" s="1230" t="s">
        <v>1302</v>
      </c>
      <c r="BQ140" s="1200">
        <v>287090</v>
      </c>
      <c r="BR140" s="1200">
        <v>333610</v>
      </c>
      <c r="BS140" s="1200">
        <v>215150</v>
      </c>
      <c r="BT140" s="1200">
        <v>229660</v>
      </c>
      <c r="BU140" s="1213"/>
    </row>
    <row r="141" spans="15:73">
      <c r="O141" s="1212"/>
      <c r="P141" s="1230" t="s">
        <v>1303</v>
      </c>
      <c r="Q141" s="1230" t="s">
        <v>412</v>
      </c>
      <c r="R141" s="1200">
        <v>474770</v>
      </c>
      <c r="S141" s="1200">
        <v>345980</v>
      </c>
      <c r="T141" s="1200">
        <v>318480</v>
      </c>
      <c r="U141" s="1200">
        <v>344090</v>
      </c>
      <c r="W141" s="1230" t="s">
        <v>1303</v>
      </c>
      <c r="X141" s="1230" t="s">
        <v>412</v>
      </c>
      <c r="Y141" s="1200">
        <v>474770</v>
      </c>
      <c r="Z141" s="1200">
        <v>345980</v>
      </c>
      <c r="AA141" s="1200">
        <v>318480</v>
      </c>
      <c r="AB141" s="1200">
        <v>344090</v>
      </c>
      <c r="AD141" s="1230" t="s">
        <v>1303</v>
      </c>
      <c r="AE141" s="1230" t="s">
        <v>412</v>
      </c>
      <c r="AF141" s="1200">
        <v>390300</v>
      </c>
      <c r="AG141" s="1200">
        <v>345980</v>
      </c>
      <c r="AH141" s="1200">
        <v>262200</v>
      </c>
      <c r="AI141" s="1200">
        <v>283280</v>
      </c>
      <c r="AK141" s="1230" t="s">
        <v>1303</v>
      </c>
      <c r="AL141" s="1230" t="s">
        <v>412</v>
      </c>
      <c r="AM141" s="1200">
        <v>390300</v>
      </c>
      <c r="AN141" s="1200">
        <v>345980</v>
      </c>
      <c r="AO141" s="1200">
        <v>262200</v>
      </c>
      <c r="AP141" s="1200">
        <v>283280</v>
      </c>
      <c r="AQ141" s="1213"/>
      <c r="AS141" s="1212"/>
      <c r="AT141" s="1230" t="s">
        <v>1303</v>
      </c>
      <c r="AU141" s="1230" t="s">
        <v>412</v>
      </c>
      <c r="AV141" s="1200">
        <v>474770</v>
      </c>
      <c r="AW141" s="1200">
        <v>345980</v>
      </c>
      <c r="AX141" s="1200">
        <v>318480</v>
      </c>
      <c r="AY141" s="1200">
        <v>344090</v>
      </c>
      <c r="BA141" s="1230" t="s">
        <v>1303</v>
      </c>
      <c r="BB141" s="1230" t="s">
        <v>412</v>
      </c>
      <c r="BC141" s="1200">
        <v>474770</v>
      </c>
      <c r="BD141" s="1200">
        <v>345980</v>
      </c>
      <c r="BE141" s="1200">
        <v>318480</v>
      </c>
      <c r="BF141" s="1200">
        <v>344090</v>
      </c>
      <c r="BH141" s="1230" t="s">
        <v>1303</v>
      </c>
      <c r="BI141" s="1230" t="s">
        <v>412</v>
      </c>
      <c r="BJ141" s="1200">
        <v>390300</v>
      </c>
      <c r="BK141" s="1200">
        <v>345980</v>
      </c>
      <c r="BL141" s="1200">
        <v>262200</v>
      </c>
      <c r="BM141" s="1200">
        <v>283280</v>
      </c>
      <c r="BO141" s="1230" t="s">
        <v>1303</v>
      </c>
      <c r="BP141" s="1230" t="s">
        <v>412</v>
      </c>
      <c r="BQ141" s="1200">
        <v>390300</v>
      </c>
      <c r="BR141" s="1200">
        <v>345980</v>
      </c>
      <c r="BS141" s="1200">
        <v>262200</v>
      </c>
      <c r="BT141" s="1200">
        <v>283280</v>
      </c>
      <c r="BU141" s="1213"/>
    </row>
    <row r="142" spans="15:73">
      <c r="O142" s="1212"/>
      <c r="P142" s="1837" t="s">
        <v>255</v>
      </c>
      <c r="Q142" s="1230" t="s">
        <v>413</v>
      </c>
      <c r="R142" s="1200">
        <v>616650</v>
      </c>
      <c r="S142" s="1200">
        <v>550490</v>
      </c>
      <c r="T142" s="1200">
        <v>561420</v>
      </c>
      <c r="U142" s="1200">
        <v>606640</v>
      </c>
      <c r="W142" s="1837" t="s">
        <v>255</v>
      </c>
      <c r="X142" s="1230" t="s">
        <v>413</v>
      </c>
      <c r="Y142" s="1200">
        <v>616650</v>
      </c>
      <c r="Z142" s="1200">
        <v>550490</v>
      </c>
      <c r="AA142" s="1200">
        <v>561420</v>
      </c>
      <c r="AB142" s="1200">
        <v>606640</v>
      </c>
      <c r="AD142" s="1837" t="s">
        <v>255</v>
      </c>
      <c r="AE142" s="1230" t="s">
        <v>413</v>
      </c>
      <c r="AF142" s="1200">
        <v>506780</v>
      </c>
      <c r="AG142" s="1200">
        <v>550490</v>
      </c>
      <c r="AH142" s="1200">
        <v>462010</v>
      </c>
      <c r="AI142" s="1200">
        <v>499230</v>
      </c>
      <c r="AK142" s="1837" t="s">
        <v>255</v>
      </c>
      <c r="AL142" s="1230" t="s">
        <v>413</v>
      </c>
      <c r="AM142" s="1200">
        <v>506780</v>
      </c>
      <c r="AN142" s="1200">
        <v>550490</v>
      </c>
      <c r="AO142" s="1200">
        <v>462010</v>
      </c>
      <c r="AP142" s="1200">
        <v>499230</v>
      </c>
      <c r="AQ142" s="1213"/>
      <c r="AS142" s="1212"/>
      <c r="AT142" s="1837" t="s">
        <v>255</v>
      </c>
      <c r="AU142" s="1230" t="s">
        <v>413</v>
      </c>
      <c r="AV142" s="1200">
        <v>616650</v>
      </c>
      <c r="AW142" s="1200">
        <v>550490</v>
      </c>
      <c r="AX142" s="1200">
        <v>561420</v>
      </c>
      <c r="AY142" s="1200">
        <v>606640</v>
      </c>
      <c r="BA142" s="1837" t="s">
        <v>255</v>
      </c>
      <c r="BB142" s="1230" t="s">
        <v>413</v>
      </c>
      <c r="BC142" s="1200">
        <v>616650</v>
      </c>
      <c r="BD142" s="1200">
        <v>550490</v>
      </c>
      <c r="BE142" s="1200">
        <v>561420</v>
      </c>
      <c r="BF142" s="1200">
        <v>606640</v>
      </c>
      <c r="BH142" s="1837" t="s">
        <v>255</v>
      </c>
      <c r="BI142" s="1230" t="s">
        <v>413</v>
      </c>
      <c r="BJ142" s="1200">
        <v>506780</v>
      </c>
      <c r="BK142" s="1200">
        <v>550490</v>
      </c>
      <c r="BL142" s="1200">
        <v>462010</v>
      </c>
      <c r="BM142" s="1200">
        <v>499230</v>
      </c>
      <c r="BO142" s="1837" t="s">
        <v>255</v>
      </c>
      <c r="BP142" s="1230" t="s">
        <v>413</v>
      </c>
      <c r="BQ142" s="1200">
        <v>506780</v>
      </c>
      <c r="BR142" s="1200">
        <v>550490</v>
      </c>
      <c r="BS142" s="1200">
        <v>462010</v>
      </c>
      <c r="BT142" s="1200">
        <v>499230</v>
      </c>
      <c r="BU142" s="1213"/>
    </row>
    <row r="143" spans="15:73">
      <c r="O143" s="1212"/>
      <c r="P143" s="1839"/>
      <c r="Q143" s="1230" t="s">
        <v>414</v>
      </c>
      <c r="R143" s="1200">
        <v>653410</v>
      </c>
      <c r="S143" s="1200">
        <v>583250</v>
      </c>
      <c r="T143" s="1200">
        <v>594830</v>
      </c>
      <c r="U143" s="1200">
        <v>642730</v>
      </c>
      <c r="W143" s="1839"/>
      <c r="X143" s="1230" t="s">
        <v>414</v>
      </c>
      <c r="Y143" s="1200">
        <v>653410</v>
      </c>
      <c r="Z143" s="1200">
        <v>583250</v>
      </c>
      <c r="AA143" s="1200">
        <v>594830</v>
      </c>
      <c r="AB143" s="1200">
        <v>642730</v>
      </c>
      <c r="AD143" s="1839"/>
      <c r="AE143" s="1230" t="s">
        <v>414</v>
      </c>
      <c r="AF143" s="1200">
        <v>536990</v>
      </c>
      <c r="AG143" s="1200">
        <v>583250</v>
      </c>
      <c r="AH143" s="1200">
        <v>489500</v>
      </c>
      <c r="AI143" s="1200">
        <v>528920</v>
      </c>
      <c r="AK143" s="1839"/>
      <c r="AL143" s="1230" t="s">
        <v>414</v>
      </c>
      <c r="AM143" s="1200">
        <v>536990</v>
      </c>
      <c r="AN143" s="1200">
        <v>583250</v>
      </c>
      <c r="AO143" s="1200">
        <v>489500</v>
      </c>
      <c r="AP143" s="1200">
        <v>528920</v>
      </c>
      <c r="AQ143" s="1213"/>
      <c r="AS143" s="1212"/>
      <c r="AT143" s="1839"/>
      <c r="AU143" s="1230" t="s">
        <v>414</v>
      </c>
      <c r="AV143" s="1200">
        <v>653410</v>
      </c>
      <c r="AW143" s="1200">
        <v>583250</v>
      </c>
      <c r="AX143" s="1200">
        <v>594830</v>
      </c>
      <c r="AY143" s="1200">
        <v>642730</v>
      </c>
      <c r="BA143" s="1839"/>
      <c r="BB143" s="1230" t="s">
        <v>414</v>
      </c>
      <c r="BC143" s="1200">
        <v>653410</v>
      </c>
      <c r="BD143" s="1200">
        <v>583250</v>
      </c>
      <c r="BE143" s="1200">
        <v>594830</v>
      </c>
      <c r="BF143" s="1200">
        <v>642730</v>
      </c>
      <c r="BH143" s="1839"/>
      <c r="BI143" s="1230" t="s">
        <v>414</v>
      </c>
      <c r="BJ143" s="1200">
        <v>536990</v>
      </c>
      <c r="BK143" s="1200">
        <v>583250</v>
      </c>
      <c r="BL143" s="1200">
        <v>489500</v>
      </c>
      <c r="BM143" s="1200">
        <v>528920</v>
      </c>
      <c r="BO143" s="1839"/>
      <c r="BP143" s="1230" t="s">
        <v>414</v>
      </c>
      <c r="BQ143" s="1200">
        <v>536990</v>
      </c>
      <c r="BR143" s="1200">
        <v>583250</v>
      </c>
      <c r="BS143" s="1200">
        <v>489500</v>
      </c>
      <c r="BT143" s="1200">
        <v>528920</v>
      </c>
      <c r="BU143" s="1213"/>
    </row>
    <row r="144" spans="15:73">
      <c r="O144" s="1212"/>
      <c r="P144" s="1838"/>
      <c r="Q144" s="1230" t="s">
        <v>1304</v>
      </c>
      <c r="R144" s="1200">
        <v>671750</v>
      </c>
      <c r="S144" s="1200">
        <v>599700</v>
      </c>
      <c r="T144" s="1200">
        <v>611580</v>
      </c>
      <c r="U144" s="1200">
        <v>660810</v>
      </c>
      <c r="W144" s="1838"/>
      <c r="X144" s="1230" t="s">
        <v>1304</v>
      </c>
      <c r="Y144" s="1200">
        <v>671750</v>
      </c>
      <c r="Z144" s="1200">
        <v>599700</v>
      </c>
      <c r="AA144" s="1200">
        <v>611580</v>
      </c>
      <c r="AB144" s="1200">
        <v>660810</v>
      </c>
      <c r="AD144" s="1838"/>
      <c r="AE144" s="1230" t="s">
        <v>1304</v>
      </c>
      <c r="AF144" s="1200">
        <v>552080</v>
      </c>
      <c r="AG144" s="1200">
        <v>599700</v>
      </c>
      <c r="AH144" s="1200">
        <v>503300</v>
      </c>
      <c r="AI144" s="1200">
        <v>543820</v>
      </c>
      <c r="AK144" s="1838"/>
      <c r="AL144" s="1230" t="s">
        <v>1304</v>
      </c>
      <c r="AM144" s="1200">
        <v>552080</v>
      </c>
      <c r="AN144" s="1200">
        <v>599700</v>
      </c>
      <c r="AO144" s="1200">
        <v>503300</v>
      </c>
      <c r="AP144" s="1200">
        <v>543820</v>
      </c>
      <c r="AQ144" s="1213"/>
      <c r="AS144" s="1212"/>
      <c r="AT144" s="1838"/>
      <c r="AU144" s="1230" t="s">
        <v>1304</v>
      </c>
      <c r="AV144" s="1200">
        <v>671750</v>
      </c>
      <c r="AW144" s="1200">
        <v>599700</v>
      </c>
      <c r="AX144" s="1200">
        <v>611580</v>
      </c>
      <c r="AY144" s="1200">
        <v>660810</v>
      </c>
      <c r="BA144" s="1838"/>
      <c r="BB144" s="1230" t="s">
        <v>1304</v>
      </c>
      <c r="BC144" s="1200">
        <v>671750</v>
      </c>
      <c r="BD144" s="1200">
        <v>599700</v>
      </c>
      <c r="BE144" s="1200">
        <v>611580</v>
      </c>
      <c r="BF144" s="1200">
        <v>660810</v>
      </c>
      <c r="BH144" s="1838"/>
      <c r="BI144" s="1230" t="s">
        <v>1304</v>
      </c>
      <c r="BJ144" s="1200">
        <v>552080</v>
      </c>
      <c r="BK144" s="1200">
        <v>599700</v>
      </c>
      <c r="BL144" s="1200">
        <v>503300</v>
      </c>
      <c r="BM144" s="1200">
        <v>543820</v>
      </c>
      <c r="BO144" s="1838"/>
      <c r="BP144" s="1230" t="s">
        <v>1304</v>
      </c>
      <c r="BQ144" s="1200">
        <v>552080</v>
      </c>
      <c r="BR144" s="1200">
        <v>599700</v>
      </c>
      <c r="BS144" s="1200">
        <v>503300</v>
      </c>
      <c r="BT144" s="1200">
        <v>543820</v>
      </c>
      <c r="BU144" s="1213"/>
    </row>
    <row r="145" spans="15:73">
      <c r="O145" s="1212"/>
      <c r="P145" s="1837" t="s">
        <v>1467</v>
      </c>
      <c r="Q145" s="1230" t="s">
        <v>1305</v>
      </c>
      <c r="R145" s="1200">
        <v>8520</v>
      </c>
      <c r="S145" s="1200">
        <v>4190</v>
      </c>
      <c r="T145" s="1200">
        <v>9250</v>
      </c>
      <c r="U145" s="1200">
        <v>10000</v>
      </c>
      <c r="W145" s="1837" t="s">
        <v>1467</v>
      </c>
      <c r="X145" s="1230" t="s">
        <v>1305</v>
      </c>
      <c r="Y145" s="1200">
        <v>8520</v>
      </c>
      <c r="Z145" s="1200">
        <v>4190</v>
      </c>
      <c r="AA145" s="1200">
        <v>9250</v>
      </c>
      <c r="AB145" s="1200">
        <v>10000</v>
      </c>
      <c r="AD145" s="1837" t="s">
        <v>1467</v>
      </c>
      <c r="AE145" s="1230" t="s">
        <v>1305</v>
      </c>
      <c r="AF145" s="1200">
        <v>7000</v>
      </c>
      <c r="AG145" s="1200">
        <v>4190</v>
      </c>
      <c r="AH145" s="1200">
        <v>7610</v>
      </c>
      <c r="AI145" s="1200">
        <v>8240</v>
      </c>
      <c r="AK145" s="1837" t="s">
        <v>1467</v>
      </c>
      <c r="AL145" s="1230" t="s">
        <v>1305</v>
      </c>
      <c r="AM145" s="1200">
        <v>7000</v>
      </c>
      <c r="AN145" s="1200">
        <v>4190</v>
      </c>
      <c r="AO145" s="1200">
        <v>7610</v>
      </c>
      <c r="AP145" s="1200">
        <v>8240</v>
      </c>
      <c r="AQ145" s="1213"/>
      <c r="AS145" s="1212"/>
      <c r="AT145" s="1837" t="s">
        <v>1467</v>
      </c>
      <c r="AU145" s="1230" t="s">
        <v>1305</v>
      </c>
      <c r="AV145" s="1200">
        <v>8520</v>
      </c>
      <c r="AW145" s="1200">
        <v>4190</v>
      </c>
      <c r="AX145" s="1200">
        <v>9250</v>
      </c>
      <c r="AY145" s="1200">
        <v>10000</v>
      </c>
      <c r="BA145" s="1837" t="s">
        <v>1467</v>
      </c>
      <c r="BB145" s="1230" t="s">
        <v>1305</v>
      </c>
      <c r="BC145" s="1200">
        <v>8520</v>
      </c>
      <c r="BD145" s="1200">
        <v>4190</v>
      </c>
      <c r="BE145" s="1200">
        <v>9250</v>
      </c>
      <c r="BF145" s="1200">
        <v>10000</v>
      </c>
      <c r="BH145" s="1837" t="s">
        <v>1467</v>
      </c>
      <c r="BI145" s="1230" t="s">
        <v>1305</v>
      </c>
      <c r="BJ145" s="1200">
        <v>7000</v>
      </c>
      <c r="BK145" s="1200">
        <v>4190</v>
      </c>
      <c r="BL145" s="1200">
        <v>7610</v>
      </c>
      <c r="BM145" s="1200">
        <v>8240</v>
      </c>
      <c r="BO145" s="1837" t="s">
        <v>1467</v>
      </c>
      <c r="BP145" s="1230" t="s">
        <v>1305</v>
      </c>
      <c r="BQ145" s="1200">
        <v>7000</v>
      </c>
      <c r="BR145" s="1200">
        <v>4190</v>
      </c>
      <c r="BS145" s="1200">
        <v>7610</v>
      </c>
      <c r="BT145" s="1200">
        <v>8240</v>
      </c>
      <c r="BU145" s="1213"/>
    </row>
    <row r="146" spans="15:73">
      <c r="O146" s="1212"/>
      <c r="P146" s="1839"/>
      <c r="Q146" s="1230" t="s">
        <v>1306</v>
      </c>
      <c r="R146" s="1200">
        <v>12270</v>
      </c>
      <c r="S146" s="1200">
        <v>6080</v>
      </c>
      <c r="T146" s="1200">
        <v>13350</v>
      </c>
      <c r="U146" s="1200">
        <v>11420</v>
      </c>
      <c r="W146" s="1839"/>
      <c r="X146" s="1230" t="s">
        <v>1306</v>
      </c>
      <c r="Y146" s="1200">
        <v>12270</v>
      </c>
      <c r="Z146" s="1200">
        <v>6080</v>
      </c>
      <c r="AA146" s="1200">
        <v>13350</v>
      </c>
      <c r="AB146" s="1200">
        <v>11420</v>
      </c>
      <c r="AD146" s="1839"/>
      <c r="AE146" s="1230" t="s">
        <v>1306</v>
      </c>
      <c r="AF146" s="1200">
        <v>10090</v>
      </c>
      <c r="AG146" s="1200">
        <v>6080</v>
      </c>
      <c r="AH146" s="1200">
        <v>10980</v>
      </c>
      <c r="AI146" s="1200">
        <v>11870</v>
      </c>
      <c r="AK146" s="1839"/>
      <c r="AL146" s="1230" t="s">
        <v>1306</v>
      </c>
      <c r="AM146" s="1200">
        <v>10090</v>
      </c>
      <c r="AN146" s="1200">
        <v>6080</v>
      </c>
      <c r="AO146" s="1200">
        <v>10980</v>
      </c>
      <c r="AP146" s="1200">
        <v>11870</v>
      </c>
      <c r="AQ146" s="1213"/>
      <c r="AS146" s="1212"/>
      <c r="AT146" s="1839"/>
      <c r="AU146" s="1230" t="s">
        <v>1306</v>
      </c>
      <c r="AV146" s="1200">
        <v>12270</v>
      </c>
      <c r="AW146" s="1200">
        <v>6080</v>
      </c>
      <c r="AX146" s="1200">
        <v>13350</v>
      </c>
      <c r="AY146" s="1200">
        <v>11420</v>
      </c>
      <c r="BA146" s="1839"/>
      <c r="BB146" s="1230" t="s">
        <v>1306</v>
      </c>
      <c r="BC146" s="1200">
        <v>12270</v>
      </c>
      <c r="BD146" s="1200">
        <v>6080</v>
      </c>
      <c r="BE146" s="1200">
        <v>13350</v>
      </c>
      <c r="BF146" s="1200">
        <v>11420</v>
      </c>
      <c r="BH146" s="1839"/>
      <c r="BI146" s="1230" t="s">
        <v>1306</v>
      </c>
      <c r="BJ146" s="1200">
        <v>10090</v>
      </c>
      <c r="BK146" s="1200">
        <v>6080</v>
      </c>
      <c r="BL146" s="1200">
        <v>10980</v>
      </c>
      <c r="BM146" s="1200">
        <v>11870</v>
      </c>
      <c r="BO146" s="1839"/>
      <c r="BP146" s="1230" t="s">
        <v>1306</v>
      </c>
      <c r="BQ146" s="1200">
        <v>10090</v>
      </c>
      <c r="BR146" s="1200">
        <v>6080</v>
      </c>
      <c r="BS146" s="1200">
        <v>10980</v>
      </c>
      <c r="BT146" s="1200">
        <v>11870</v>
      </c>
      <c r="BU146" s="1213"/>
    </row>
    <row r="147" spans="15:73">
      <c r="O147" s="1212"/>
      <c r="P147" s="1838"/>
      <c r="Q147" s="1230" t="s">
        <v>413</v>
      </c>
      <c r="R147" s="1200">
        <v>22740</v>
      </c>
      <c r="S147" s="1200">
        <v>11250</v>
      </c>
      <c r="T147" s="1200">
        <v>24680</v>
      </c>
      <c r="U147" s="1200">
        <v>26660</v>
      </c>
      <c r="W147" s="1838"/>
      <c r="X147" s="1230" t="s">
        <v>413</v>
      </c>
      <c r="Y147" s="1200">
        <v>22740</v>
      </c>
      <c r="Z147" s="1200">
        <v>11250</v>
      </c>
      <c r="AA147" s="1200">
        <v>24680</v>
      </c>
      <c r="AB147" s="1200">
        <v>26660</v>
      </c>
      <c r="AD147" s="1838"/>
      <c r="AE147" s="1230" t="s">
        <v>413</v>
      </c>
      <c r="AF147" s="1200">
        <v>18690</v>
      </c>
      <c r="AG147" s="1200">
        <v>11250</v>
      </c>
      <c r="AH147" s="1200">
        <v>20320</v>
      </c>
      <c r="AI147" s="1200">
        <v>21960</v>
      </c>
      <c r="AK147" s="1838"/>
      <c r="AL147" s="1230" t="s">
        <v>413</v>
      </c>
      <c r="AM147" s="1200">
        <v>18690</v>
      </c>
      <c r="AN147" s="1200">
        <v>11250</v>
      </c>
      <c r="AO147" s="1200">
        <v>20320</v>
      </c>
      <c r="AP147" s="1200">
        <v>21960</v>
      </c>
      <c r="AQ147" s="1213"/>
      <c r="AS147" s="1212"/>
      <c r="AT147" s="1838"/>
      <c r="AU147" s="1230" t="s">
        <v>413</v>
      </c>
      <c r="AV147" s="1200">
        <v>22740</v>
      </c>
      <c r="AW147" s="1200">
        <v>11250</v>
      </c>
      <c r="AX147" s="1200">
        <v>24680</v>
      </c>
      <c r="AY147" s="1200">
        <v>26660</v>
      </c>
      <c r="BA147" s="1838"/>
      <c r="BB147" s="1230" t="s">
        <v>413</v>
      </c>
      <c r="BC147" s="1200">
        <v>22740</v>
      </c>
      <c r="BD147" s="1200">
        <v>11250</v>
      </c>
      <c r="BE147" s="1200">
        <v>24680</v>
      </c>
      <c r="BF147" s="1200">
        <v>26660</v>
      </c>
      <c r="BH147" s="1838"/>
      <c r="BI147" s="1230" t="s">
        <v>413</v>
      </c>
      <c r="BJ147" s="1200">
        <v>18690</v>
      </c>
      <c r="BK147" s="1200">
        <v>11250</v>
      </c>
      <c r="BL147" s="1200">
        <v>20320</v>
      </c>
      <c r="BM147" s="1200">
        <v>21960</v>
      </c>
      <c r="BO147" s="1838"/>
      <c r="BP147" s="1230" t="s">
        <v>413</v>
      </c>
      <c r="BQ147" s="1200">
        <v>18690</v>
      </c>
      <c r="BR147" s="1200">
        <v>11250</v>
      </c>
      <c r="BS147" s="1200">
        <v>20320</v>
      </c>
      <c r="BT147" s="1200">
        <v>21960</v>
      </c>
      <c r="BU147" s="1213"/>
    </row>
    <row r="148" spans="15:73">
      <c r="O148" s="1212"/>
      <c r="P148" s="1230" t="s">
        <v>416</v>
      </c>
      <c r="Q148" s="1230" t="s">
        <v>414</v>
      </c>
      <c r="R148" s="1201">
        <v>2320</v>
      </c>
      <c r="S148" s="1201">
        <v>1970</v>
      </c>
      <c r="T148" s="1201">
        <v>2710</v>
      </c>
      <c r="U148" s="1201">
        <v>2920</v>
      </c>
      <c r="W148" s="1230" t="s">
        <v>416</v>
      </c>
      <c r="X148" s="1230" t="s">
        <v>414</v>
      </c>
      <c r="Y148" s="1201">
        <v>2320</v>
      </c>
      <c r="Z148" s="1201">
        <v>1970</v>
      </c>
      <c r="AA148" s="1201">
        <v>2710</v>
      </c>
      <c r="AB148" s="1201">
        <v>2920</v>
      </c>
      <c r="AD148" s="1230" t="s">
        <v>416</v>
      </c>
      <c r="AE148" s="1230" t="s">
        <v>414</v>
      </c>
      <c r="AF148" s="1201">
        <v>2340</v>
      </c>
      <c r="AG148" s="1201">
        <v>1970</v>
      </c>
      <c r="AH148" s="1201">
        <v>2740</v>
      </c>
      <c r="AI148" s="1201">
        <v>2940</v>
      </c>
      <c r="AK148" s="1230" t="s">
        <v>416</v>
      </c>
      <c r="AL148" s="1230" t="s">
        <v>414</v>
      </c>
      <c r="AM148" s="1201">
        <v>2340</v>
      </c>
      <c r="AN148" s="1201">
        <v>1970</v>
      </c>
      <c r="AO148" s="1201">
        <v>2740</v>
      </c>
      <c r="AP148" s="1201">
        <v>2940</v>
      </c>
      <c r="AQ148" s="1213"/>
      <c r="AS148" s="1212"/>
      <c r="AT148" s="1230" t="s">
        <v>416</v>
      </c>
      <c r="AU148" s="1230" t="s">
        <v>414</v>
      </c>
      <c r="AV148" s="1201">
        <v>2320</v>
      </c>
      <c r="AW148" s="1201">
        <v>1970</v>
      </c>
      <c r="AX148" s="1201">
        <v>2710</v>
      </c>
      <c r="AY148" s="1201">
        <v>2920</v>
      </c>
      <c r="BA148" s="1230" t="s">
        <v>416</v>
      </c>
      <c r="BB148" s="1230" t="s">
        <v>414</v>
      </c>
      <c r="BC148" s="1201">
        <v>2320</v>
      </c>
      <c r="BD148" s="1201">
        <v>1970</v>
      </c>
      <c r="BE148" s="1201">
        <v>2710</v>
      </c>
      <c r="BF148" s="1201">
        <v>2920</v>
      </c>
      <c r="BH148" s="1230" t="s">
        <v>416</v>
      </c>
      <c r="BI148" s="1230" t="s">
        <v>414</v>
      </c>
      <c r="BJ148" s="1201">
        <v>2340</v>
      </c>
      <c r="BK148" s="1201">
        <v>1970</v>
      </c>
      <c r="BL148" s="1201">
        <v>2740</v>
      </c>
      <c r="BM148" s="1201">
        <v>2940</v>
      </c>
      <c r="BO148" s="1230" t="s">
        <v>416</v>
      </c>
      <c r="BP148" s="1230" t="s">
        <v>414</v>
      </c>
      <c r="BQ148" s="1201">
        <v>2340</v>
      </c>
      <c r="BR148" s="1201">
        <v>1970</v>
      </c>
      <c r="BS148" s="1201">
        <v>2740</v>
      </c>
      <c r="BT148" s="1201">
        <v>2940</v>
      </c>
      <c r="BU148" s="1213"/>
    </row>
    <row r="149" spans="15:73">
      <c r="O149" s="1212"/>
      <c r="P149" s="1230" t="s">
        <v>415</v>
      </c>
      <c r="Q149" s="1230" t="s">
        <v>1307</v>
      </c>
      <c r="R149" s="1201">
        <v>13050</v>
      </c>
      <c r="S149" s="1201">
        <v>13050</v>
      </c>
      <c r="T149" s="1201">
        <v>13050</v>
      </c>
      <c r="U149" s="1201">
        <v>13050</v>
      </c>
      <c r="W149" s="1230" t="s">
        <v>415</v>
      </c>
      <c r="X149" s="1230" t="s">
        <v>1307</v>
      </c>
      <c r="Y149" s="1201">
        <v>13050</v>
      </c>
      <c r="Z149" s="1201">
        <v>13050</v>
      </c>
      <c r="AA149" s="1201">
        <v>13050</v>
      </c>
      <c r="AB149" s="1201">
        <v>13050</v>
      </c>
      <c r="AD149" s="1230" t="s">
        <v>415</v>
      </c>
      <c r="AE149" s="1230" t="s">
        <v>1307</v>
      </c>
      <c r="AF149" s="1201">
        <v>13050</v>
      </c>
      <c r="AG149" s="1201">
        <v>13050</v>
      </c>
      <c r="AH149" s="1201">
        <v>13050</v>
      </c>
      <c r="AI149" s="1201">
        <v>13050</v>
      </c>
      <c r="AK149" s="1230" t="s">
        <v>415</v>
      </c>
      <c r="AL149" s="1230" t="s">
        <v>1307</v>
      </c>
      <c r="AM149" s="1201">
        <v>13050</v>
      </c>
      <c r="AN149" s="1201">
        <v>13050</v>
      </c>
      <c r="AO149" s="1201">
        <v>13050</v>
      </c>
      <c r="AP149" s="1201">
        <v>13050</v>
      </c>
      <c r="AQ149" s="1213"/>
      <c r="AS149" s="1212"/>
      <c r="AT149" s="1230" t="s">
        <v>415</v>
      </c>
      <c r="AU149" s="1230" t="s">
        <v>1307</v>
      </c>
      <c r="AV149" s="1201">
        <v>13050</v>
      </c>
      <c r="AW149" s="1201">
        <v>13050</v>
      </c>
      <c r="AX149" s="1201">
        <v>13050</v>
      </c>
      <c r="AY149" s="1201">
        <v>13050</v>
      </c>
      <c r="BA149" s="1230" t="s">
        <v>415</v>
      </c>
      <c r="BB149" s="1230" t="s">
        <v>1307</v>
      </c>
      <c r="BC149" s="1201">
        <v>13050</v>
      </c>
      <c r="BD149" s="1201">
        <v>13050</v>
      </c>
      <c r="BE149" s="1201">
        <v>13050</v>
      </c>
      <c r="BF149" s="1201">
        <v>13050</v>
      </c>
      <c r="BH149" s="1230" t="s">
        <v>415</v>
      </c>
      <c r="BI149" s="1230" t="s">
        <v>1307</v>
      </c>
      <c r="BJ149" s="1201">
        <v>13050</v>
      </c>
      <c r="BK149" s="1201">
        <v>13050</v>
      </c>
      <c r="BL149" s="1201">
        <v>13050</v>
      </c>
      <c r="BM149" s="1201">
        <v>13050</v>
      </c>
      <c r="BO149" s="1230" t="s">
        <v>415</v>
      </c>
      <c r="BP149" s="1230" t="s">
        <v>1307</v>
      </c>
      <c r="BQ149" s="1201">
        <v>13050</v>
      </c>
      <c r="BR149" s="1201">
        <v>13050</v>
      </c>
      <c r="BS149" s="1201">
        <v>13050</v>
      </c>
      <c r="BT149" s="1201">
        <v>13050</v>
      </c>
      <c r="BU149" s="1213"/>
    </row>
    <row r="150" spans="15:73">
      <c r="O150" s="1212"/>
      <c r="P150" s="1840" t="s">
        <v>408</v>
      </c>
      <c r="Q150" s="1837" t="s">
        <v>1308</v>
      </c>
      <c r="R150" s="1204">
        <v>241760</v>
      </c>
      <c r="S150" s="1204">
        <v>276460</v>
      </c>
      <c r="T150" s="1204">
        <v>232790</v>
      </c>
      <c r="U150" s="1204">
        <v>251090</v>
      </c>
      <c r="W150" s="1840" t="s">
        <v>408</v>
      </c>
      <c r="X150" s="1837" t="s">
        <v>1308</v>
      </c>
      <c r="Y150" s="1204">
        <v>241760</v>
      </c>
      <c r="Z150" s="1204">
        <v>276460</v>
      </c>
      <c r="AA150" s="1204">
        <v>232790</v>
      </c>
      <c r="AB150" s="1204">
        <v>251090</v>
      </c>
      <c r="AD150" s="1840" t="s">
        <v>408</v>
      </c>
      <c r="AE150" s="1837" t="s">
        <v>1308</v>
      </c>
      <c r="AF150" s="1204">
        <v>198810</v>
      </c>
      <c r="AG150" s="1204">
        <v>276460</v>
      </c>
      <c r="AH150" s="1204">
        <v>191850</v>
      </c>
      <c r="AI150" s="1204">
        <v>206820</v>
      </c>
      <c r="AK150" s="1840" t="s">
        <v>408</v>
      </c>
      <c r="AL150" s="1837" t="s">
        <v>1308</v>
      </c>
      <c r="AM150" s="1204">
        <v>198810</v>
      </c>
      <c r="AN150" s="1204">
        <v>276460</v>
      </c>
      <c r="AO150" s="1204">
        <v>191850</v>
      </c>
      <c r="AP150" s="1204">
        <v>206820</v>
      </c>
      <c r="AQ150" s="1213"/>
      <c r="AS150" s="1212"/>
      <c r="AT150" s="1840" t="s">
        <v>408</v>
      </c>
      <c r="AU150" s="1837" t="s">
        <v>1308</v>
      </c>
      <c r="AV150" s="1204">
        <v>241760</v>
      </c>
      <c r="AW150" s="1204">
        <v>276460</v>
      </c>
      <c r="AX150" s="1204">
        <v>232790</v>
      </c>
      <c r="AY150" s="1204">
        <v>251090</v>
      </c>
      <c r="BA150" s="1840" t="s">
        <v>408</v>
      </c>
      <c r="BB150" s="1837" t="s">
        <v>1308</v>
      </c>
      <c r="BC150" s="1204">
        <v>241760</v>
      </c>
      <c r="BD150" s="1204">
        <v>276460</v>
      </c>
      <c r="BE150" s="1204">
        <v>232790</v>
      </c>
      <c r="BF150" s="1204">
        <v>251090</v>
      </c>
      <c r="BH150" s="1840" t="s">
        <v>408</v>
      </c>
      <c r="BI150" s="1837" t="s">
        <v>1308</v>
      </c>
      <c r="BJ150" s="1204">
        <v>198810</v>
      </c>
      <c r="BK150" s="1204">
        <v>276460</v>
      </c>
      <c r="BL150" s="1204">
        <v>191850</v>
      </c>
      <c r="BM150" s="1204">
        <v>206820</v>
      </c>
      <c r="BO150" s="1840" t="s">
        <v>408</v>
      </c>
      <c r="BP150" s="1837" t="s">
        <v>1308</v>
      </c>
      <c r="BQ150" s="1204">
        <v>198810</v>
      </c>
      <c r="BR150" s="1204">
        <v>276460</v>
      </c>
      <c r="BS150" s="1204">
        <v>191850</v>
      </c>
      <c r="BT150" s="1204">
        <v>206820</v>
      </c>
      <c r="BU150" s="1213"/>
    </row>
    <row r="151" spans="15:73">
      <c r="O151" s="1212"/>
      <c r="P151" s="1841"/>
      <c r="Q151" s="1838"/>
      <c r="R151" s="1205">
        <f>R150/100000</f>
        <v>2.4176000000000002</v>
      </c>
      <c r="S151" s="1205">
        <f t="shared" ref="S151:U151" si="126">S150/100000</f>
        <v>2.7646000000000002</v>
      </c>
      <c r="T151" s="1205">
        <f t="shared" si="126"/>
        <v>2.3279000000000001</v>
      </c>
      <c r="U151" s="1205">
        <f t="shared" si="126"/>
        <v>2.5108999999999999</v>
      </c>
      <c r="W151" s="1841"/>
      <c r="X151" s="1838"/>
      <c r="Y151" s="1205">
        <f>Y150/100000</f>
        <v>2.4176000000000002</v>
      </c>
      <c r="Z151" s="1205">
        <f t="shared" ref="Z151" si="127">Z150/100000</f>
        <v>2.7646000000000002</v>
      </c>
      <c r="AA151" s="1205">
        <f t="shared" ref="AA151" si="128">AA150/100000</f>
        <v>2.3279000000000001</v>
      </c>
      <c r="AB151" s="1205">
        <f t="shared" ref="AB151" si="129">AB150/100000</f>
        <v>2.5108999999999999</v>
      </c>
      <c r="AD151" s="1841"/>
      <c r="AE151" s="1838"/>
      <c r="AF151" s="1205">
        <f>AF150/100000</f>
        <v>1.9881</v>
      </c>
      <c r="AG151" s="1205">
        <f t="shared" ref="AG151" si="130">AG150/100000</f>
        <v>2.7646000000000002</v>
      </c>
      <c r="AH151" s="1205">
        <f t="shared" ref="AH151" si="131">AH150/100000</f>
        <v>1.9185000000000001</v>
      </c>
      <c r="AI151" s="1205">
        <f t="shared" ref="AI151" si="132">AI150/100000</f>
        <v>2.0682</v>
      </c>
      <c r="AK151" s="1841"/>
      <c r="AL151" s="1838"/>
      <c r="AM151" s="1205">
        <f>AM150/100000</f>
        <v>1.9881</v>
      </c>
      <c r="AN151" s="1205">
        <f t="shared" ref="AN151" si="133">AN150/100000</f>
        <v>2.7646000000000002</v>
      </c>
      <c r="AO151" s="1205">
        <f t="shared" ref="AO151" si="134">AO150/100000</f>
        <v>1.9185000000000001</v>
      </c>
      <c r="AP151" s="1205">
        <f t="shared" ref="AP151" si="135">AP150/100000</f>
        <v>2.0682</v>
      </c>
      <c r="AQ151" s="1213"/>
      <c r="AS151" s="1212"/>
      <c r="AT151" s="1841"/>
      <c r="AU151" s="1838"/>
      <c r="AV151" s="1205">
        <f>AV150/100000</f>
        <v>2.4176000000000002</v>
      </c>
      <c r="AW151" s="1205">
        <f t="shared" ref="AW151:AY151" si="136">AW150/100000</f>
        <v>2.7646000000000002</v>
      </c>
      <c r="AX151" s="1205">
        <f t="shared" si="136"/>
        <v>2.3279000000000001</v>
      </c>
      <c r="AY151" s="1205">
        <f t="shared" si="136"/>
        <v>2.5108999999999999</v>
      </c>
      <c r="BA151" s="1841"/>
      <c r="BB151" s="1838"/>
      <c r="BC151" s="1205">
        <f>BC150/100000</f>
        <v>2.4176000000000002</v>
      </c>
      <c r="BD151" s="1205">
        <f t="shared" ref="BD151:BF151" si="137">BD150/100000</f>
        <v>2.7646000000000002</v>
      </c>
      <c r="BE151" s="1205">
        <f t="shared" si="137"/>
        <v>2.3279000000000001</v>
      </c>
      <c r="BF151" s="1205">
        <f t="shared" si="137"/>
        <v>2.5108999999999999</v>
      </c>
      <c r="BH151" s="1841"/>
      <c r="BI151" s="1838"/>
      <c r="BJ151" s="1205">
        <f>BJ150/100000</f>
        <v>1.9881</v>
      </c>
      <c r="BK151" s="1205">
        <f t="shared" ref="BK151:BM151" si="138">BK150/100000</f>
        <v>2.7646000000000002</v>
      </c>
      <c r="BL151" s="1205">
        <f t="shared" si="138"/>
        <v>1.9185000000000001</v>
      </c>
      <c r="BM151" s="1205">
        <f t="shared" si="138"/>
        <v>2.0682</v>
      </c>
      <c r="BO151" s="1841"/>
      <c r="BP151" s="1838"/>
      <c r="BQ151" s="1205">
        <f>BQ150/100000</f>
        <v>1.9881</v>
      </c>
      <c r="BR151" s="1205">
        <f t="shared" ref="BR151:BT151" si="139">BR150/100000</f>
        <v>2.7646000000000002</v>
      </c>
      <c r="BS151" s="1205">
        <f t="shared" si="139"/>
        <v>1.9185000000000001</v>
      </c>
      <c r="BT151" s="1205">
        <f t="shared" si="139"/>
        <v>2.0682</v>
      </c>
      <c r="BU151" s="1213"/>
    </row>
    <row r="152" spans="15:73">
      <c r="O152" s="1212"/>
      <c r="P152" s="1216"/>
      <c r="R152" s="1217">
        <f>R140+R141+R142+R147+R148</f>
        <v>1460940</v>
      </c>
      <c r="S152" s="1217">
        <f t="shared" ref="S152:U152" si="140">S140+S141+S142+S147+S148</f>
        <v>1208300</v>
      </c>
      <c r="T152" s="1217">
        <f t="shared" si="140"/>
        <v>1163130</v>
      </c>
      <c r="U152" s="1217">
        <f t="shared" si="140"/>
        <v>1253940</v>
      </c>
      <c r="Y152" s="1217">
        <f>Y140+Y141+Y142+Y147+Y148</f>
        <v>1460940</v>
      </c>
      <c r="Z152" s="1217">
        <f t="shared" ref="Z152:AB152" si="141">Z140+Z141+Z142+Z147+Z148</f>
        <v>1208300</v>
      </c>
      <c r="AA152" s="1217">
        <f t="shared" si="141"/>
        <v>1163130</v>
      </c>
      <c r="AB152" s="1217">
        <f t="shared" si="141"/>
        <v>1253940</v>
      </c>
      <c r="AF152" s="1217">
        <f>AF140+AF141+AF142+AF147+AF148</f>
        <v>1205200</v>
      </c>
      <c r="AG152" s="1217">
        <f t="shared" ref="AG152:AI152" si="142">AG140+AG141+AG142+AG147+AG148</f>
        <v>1243300</v>
      </c>
      <c r="AH152" s="1217">
        <f t="shared" si="142"/>
        <v>962420</v>
      </c>
      <c r="AI152" s="1217">
        <f t="shared" si="142"/>
        <v>1037070</v>
      </c>
      <c r="AM152" s="1217">
        <f>AM140+AM141+AM143+AM147+AM148</f>
        <v>1235410</v>
      </c>
      <c r="AN152" s="1217">
        <f>AN140+AN141+AN143+AN147+AN148</f>
        <v>1276060</v>
      </c>
      <c r="AO152" s="1217">
        <f>AO140+AO141+AO143+AO147+AO148</f>
        <v>989910</v>
      </c>
      <c r="AP152" s="1217">
        <f>AP140+AP141+AP143+AP147+AP148</f>
        <v>1066760</v>
      </c>
      <c r="AQ152" s="1213"/>
      <c r="AS152" s="1212"/>
      <c r="AT152" s="1216"/>
      <c r="AV152" s="1217">
        <f>AV140+AV141+AV142+AV147+AV148</f>
        <v>1460940</v>
      </c>
      <c r="AW152" s="1217">
        <f t="shared" ref="AW152:AY152" si="143">AW140+AW141+AW142+AW147+AW148</f>
        <v>1208300</v>
      </c>
      <c r="AX152" s="1217">
        <f t="shared" si="143"/>
        <v>1163130</v>
      </c>
      <c r="AY152" s="1217">
        <f t="shared" si="143"/>
        <v>1253940</v>
      </c>
      <c r="BC152" s="1217">
        <f>BC140+BC141+BC142+BC147+BC148</f>
        <v>1460940</v>
      </c>
      <c r="BD152" s="1217">
        <f t="shared" ref="BD152:BF152" si="144">BD140+BD141+BD142+BD147+BD148</f>
        <v>1208300</v>
      </c>
      <c r="BE152" s="1217">
        <f t="shared" si="144"/>
        <v>1163130</v>
      </c>
      <c r="BF152" s="1217">
        <f t="shared" si="144"/>
        <v>1253940</v>
      </c>
      <c r="BJ152" s="1217">
        <f>BJ140+BJ141+BJ142+BJ147+BJ148</f>
        <v>1205200</v>
      </c>
      <c r="BK152" s="1217">
        <f t="shared" ref="BK152:BM152" si="145">BK140+BK141+BK142+BK147+BK148</f>
        <v>1243300</v>
      </c>
      <c r="BL152" s="1217">
        <f t="shared" si="145"/>
        <v>962420</v>
      </c>
      <c r="BM152" s="1217">
        <f t="shared" si="145"/>
        <v>1037070</v>
      </c>
      <c r="BQ152" s="1217">
        <f>BQ140+BQ141+BQ143+BQ147+BQ148</f>
        <v>1235410</v>
      </c>
      <c r="BR152" s="1217">
        <f>BR140+BR141+BR143+BR147+BR148</f>
        <v>1276060</v>
      </c>
      <c r="BS152" s="1217">
        <f>BS140+BS141+BS143+BS147+BS148</f>
        <v>989910</v>
      </c>
      <c r="BT152" s="1217">
        <f>BT140+BT141+BT143+BT147+BT148</f>
        <v>1066760</v>
      </c>
      <c r="BU152" s="1213"/>
    </row>
    <row r="153" spans="15:73" ht="12" thickBot="1">
      <c r="O153" s="1218"/>
      <c r="P153" s="1219"/>
      <c r="Q153" s="1219"/>
      <c r="R153" s="1219"/>
      <c r="S153" s="1219"/>
      <c r="T153" s="1219"/>
      <c r="U153" s="1219"/>
      <c r="V153" s="1219"/>
      <c r="W153" s="1219"/>
      <c r="X153" s="1219"/>
      <c r="Y153" s="1219"/>
      <c r="Z153" s="1219"/>
      <c r="AA153" s="1219"/>
      <c r="AB153" s="1219"/>
      <c r="AC153" s="1219"/>
      <c r="AD153" s="1219"/>
      <c r="AE153" s="1219"/>
      <c r="AF153" s="1219"/>
      <c r="AG153" s="1219"/>
      <c r="AH153" s="1219"/>
      <c r="AI153" s="1219"/>
      <c r="AJ153" s="1219"/>
      <c r="AK153" s="1219"/>
      <c r="AL153" s="1219"/>
      <c r="AM153" s="1219"/>
      <c r="AN153" s="1219"/>
      <c r="AO153" s="1219"/>
      <c r="AP153" s="1219"/>
      <c r="AQ153" s="1220"/>
      <c r="AS153" s="1218"/>
      <c r="AT153" s="1219"/>
      <c r="AU153" s="1219"/>
      <c r="AV153" s="1219"/>
      <c r="AW153" s="1219"/>
      <c r="AX153" s="1219"/>
      <c r="AY153" s="1219"/>
      <c r="AZ153" s="1219"/>
      <c r="BA153" s="1219"/>
      <c r="BB153" s="1219"/>
      <c r="BC153" s="1219"/>
      <c r="BD153" s="1219"/>
      <c r="BE153" s="1219"/>
      <c r="BF153" s="1219"/>
      <c r="BG153" s="1219"/>
      <c r="BH153" s="1219"/>
      <c r="BI153" s="1219"/>
      <c r="BJ153" s="1219"/>
      <c r="BK153" s="1219"/>
      <c r="BL153" s="1219"/>
      <c r="BM153" s="1219"/>
      <c r="BN153" s="1219"/>
      <c r="BO153" s="1219"/>
      <c r="BP153" s="1219"/>
      <c r="BQ153" s="1219"/>
      <c r="BR153" s="1219"/>
      <c r="BS153" s="1219"/>
      <c r="BT153" s="1219"/>
      <c r="BU153" s="1220"/>
    </row>
  </sheetData>
  <mergeCells count="401">
    <mergeCell ref="AL150:AL151"/>
    <mergeCell ref="AD145:AD147"/>
    <mergeCell ref="AK145:AK147"/>
    <mergeCell ref="P150:P151"/>
    <mergeCell ref="Q150:Q151"/>
    <mergeCell ref="W150:W151"/>
    <mergeCell ref="X150:X151"/>
    <mergeCell ref="AD150:AD151"/>
    <mergeCell ref="AE150:AE151"/>
    <mergeCell ref="AK150:AK151"/>
    <mergeCell ref="AD138:AE138"/>
    <mergeCell ref="AK138:AL138"/>
    <mergeCell ref="P142:P144"/>
    <mergeCell ref="W142:W144"/>
    <mergeCell ref="AD142:AD144"/>
    <mergeCell ref="AK142:AK144"/>
    <mergeCell ref="AL133:AL134"/>
    <mergeCell ref="P137:Q137"/>
    <mergeCell ref="W137:X137"/>
    <mergeCell ref="AD137:AE137"/>
    <mergeCell ref="AK137:AL137"/>
    <mergeCell ref="AD128:AD130"/>
    <mergeCell ref="AK128:AK130"/>
    <mergeCell ref="P133:P134"/>
    <mergeCell ref="Q133:Q134"/>
    <mergeCell ref="W133:W134"/>
    <mergeCell ref="X133:X134"/>
    <mergeCell ref="AD133:AD134"/>
    <mergeCell ref="AE133:AE134"/>
    <mergeCell ref="AK133:AK134"/>
    <mergeCell ref="AD121:AE121"/>
    <mergeCell ref="AK121:AL121"/>
    <mergeCell ref="P125:P127"/>
    <mergeCell ref="W125:W127"/>
    <mergeCell ref="AD125:AD127"/>
    <mergeCell ref="AK125:AK127"/>
    <mergeCell ref="AL112:AL113"/>
    <mergeCell ref="P119:Q119"/>
    <mergeCell ref="P120:Q120"/>
    <mergeCell ref="W120:X120"/>
    <mergeCell ref="AD120:AE120"/>
    <mergeCell ref="AK120:AL120"/>
    <mergeCell ref="P107:P109"/>
    <mergeCell ref="W107:W109"/>
    <mergeCell ref="AD107:AD109"/>
    <mergeCell ref="AK107:AK109"/>
    <mergeCell ref="P112:P113"/>
    <mergeCell ref="Q112:Q113"/>
    <mergeCell ref="W112:W113"/>
    <mergeCell ref="X112:X113"/>
    <mergeCell ref="AD112:AD113"/>
    <mergeCell ref="AE112:AE113"/>
    <mergeCell ref="AK112:AK113"/>
    <mergeCell ref="P100:Q100"/>
    <mergeCell ref="W100:X100"/>
    <mergeCell ref="AD100:AE100"/>
    <mergeCell ref="AK100:AL100"/>
    <mergeCell ref="P104:P106"/>
    <mergeCell ref="W104:W106"/>
    <mergeCell ref="AD104:AD106"/>
    <mergeCell ref="AK104:AK106"/>
    <mergeCell ref="AE95:AE96"/>
    <mergeCell ref="AK95:AK96"/>
    <mergeCell ref="AL95:AL96"/>
    <mergeCell ref="P99:Q99"/>
    <mergeCell ref="W99:X99"/>
    <mergeCell ref="AD99:AE99"/>
    <mergeCell ref="AK99:AL99"/>
    <mergeCell ref="P95:P96"/>
    <mergeCell ref="Q95:Q96"/>
    <mergeCell ref="W95:W96"/>
    <mergeCell ref="X95:X96"/>
    <mergeCell ref="AD95:AD96"/>
    <mergeCell ref="P70:P72"/>
    <mergeCell ref="W70:W72"/>
    <mergeCell ref="AD70:AD72"/>
    <mergeCell ref="AK70:AK72"/>
    <mergeCell ref="P75:P76"/>
    <mergeCell ref="Q75:Q76"/>
    <mergeCell ref="W75:W76"/>
    <mergeCell ref="X75:X76"/>
    <mergeCell ref="AD75:AD76"/>
    <mergeCell ref="AE75:AE76"/>
    <mergeCell ref="AK75:AK76"/>
    <mergeCell ref="P58:P59"/>
    <mergeCell ref="Q58:Q59"/>
    <mergeCell ref="W58:W59"/>
    <mergeCell ref="X58:X59"/>
    <mergeCell ref="AD58:AD59"/>
    <mergeCell ref="AK46:AL46"/>
    <mergeCell ref="P50:P52"/>
    <mergeCell ref="W50:W52"/>
    <mergeCell ref="AD50:AD52"/>
    <mergeCell ref="AK50:AK52"/>
    <mergeCell ref="AE58:AE59"/>
    <mergeCell ref="AK58:AK59"/>
    <mergeCell ref="AL58:AL59"/>
    <mergeCell ref="AL38:AL39"/>
    <mergeCell ref="P44:Q44"/>
    <mergeCell ref="P45:Q45"/>
    <mergeCell ref="W45:X45"/>
    <mergeCell ref="AD45:AE45"/>
    <mergeCell ref="AK45:AL45"/>
    <mergeCell ref="P33:P35"/>
    <mergeCell ref="W33:W35"/>
    <mergeCell ref="AD33:AD35"/>
    <mergeCell ref="AK33:AK35"/>
    <mergeCell ref="P38:P39"/>
    <mergeCell ref="Q38:Q39"/>
    <mergeCell ref="W38:W39"/>
    <mergeCell ref="X38:X39"/>
    <mergeCell ref="AD38:AD39"/>
    <mergeCell ref="AE38:AE39"/>
    <mergeCell ref="AK38:AK39"/>
    <mergeCell ref="P26:Q26"/>
    <mergeCell ref="W26:X26"/>
    <mergeCell ref="AD26:AE26"/>
    <mergeCell ref="AK26:AL26"/>
    <mergeCell ref="P30:P32"/>
    <mergeCell ref="W30:W32"/>
    <mergeCell ref="AD30:AD32"/>
    <mergeCell ref="AK30:AK32"/>
    <mergeCell ref="AL21:AL22"/>
    <mergeCell ref="P25:Q25"/>
    <mergeCell ref="W25:X25"/>
    <mergeCell ref="AD25:AE25"/>
    <mergeCell ref="AK25:AL25"/>
    <mergeCell ref="AK16:AK18"/>
    <mergeCell ref="P21:P22"/>
    <mergeCell ref="Q21:Q22"/>
    <mergeCell ref="W21:W22"/>
    <mergeCell ref="X21:X22"/>
    <mergeCell ref="AD21:AD22"/>
    <mergeCell ref="AK21:AK22"/>
    <mergeCell ref="P9:Q9"/>
    <mergeCell ref="W9:X9"/>
    <mergeCell ref="AD9:AE9"/>
    <mergeCell ref="AK9:AL9"/>
    <mergeCell ref="P13:P15"/>
    <mergeCell ref="W13:W15"/>
    <mergeCell ref="AD13:AD15"/>
    <mergeCell ref="AK13:AK15"/>
    <mergeCell ref="P7:Q7"/>
    <mergeCell ref="P8:Q8"/>
    <mergeCell ref="W8:X8"/>
    <mergeCell ref="AD8:AE8"/>
    <mergeCell ref="AK8:AL8"/>
    <mergeCell ref="P145:P147"/>
    <mergeCell ref="W145:W147"/>
    <mergeCell ref="P138:Q138"/>
    <mergeCell ref="W138:X138"/>
    <mergeCell ref="P121:Q121"/>
    <mergeCell ref="W121:X121"/>
    <mergeCell ref="P128:P130"/>
    <mergeCell ref="W128:W130"/>
    <mergeCell ref="AE21:AE22"/>
    <mergeCell ref="P16:P18"/>
    <mergeCell ref="W16:W18"/>
    <mergeCell ref="AD16:AD18"/>
    <mergeCell ref="P46:Q46"/>
    <mergeCell ref="W46:X46"/>
    <mergeCell ref="AD46:AE46"/>
    <mergeCell ref="P53:P55"/>
    <mergeCell ref="W53:W55"/>
    <mergeCell ref="AD53:AD55"/>
    <mergeCell ref="AK53:AK55"/>
    <mergeCell ref="A23:A24"/>
    <mergeCell ref="H23:H24"/>
    <mergeCell ref="E5:E6"/>
    <mergeCell ref="A9:C9"/>
    <mergeCell ref="H9:J9"/>
    <mergeCell ref="A13:A15"/>
    <mergeCell ref="H13:H15"/>
    <mergeCell ref="A16:A18"/>
    <mergeCell ref="H16:H18"/>
    <mergeCell ref="AD62:AE62"/>
    <mergeCell ref="AK62:AL62"/>
    <mergeCell ref="AD63:AE63"/>
    <mergeCell ref="AK63:AL63"/>
    <mergeCell ref="AD67:AD69"/>
    <mergeCell ref="AK67:AK69"/>
    <mergeCell ref="P62:Q62"/>
    <mergeCell ref="W62:X62"/>
    <mergeCell ref="P63:Q63"/>
    <mergeCell ref="W63:X63"/>
    <mergeCell ref="P67:P69"/>
    <mergeCell ref="W67:W69"/>
    <mergeCell ref="P81:Q81"/>
    <mergeCell ref="P82:Q82"/>
    <mergeCell ref="W82:X82"/>
    <mergeCell ref="P83:Q83"/>
    <mergeCell ref="W83:X83"/>
    <mergeCell ref="P87:P89"/>
    <mergeCell ref="W87:W89"/>
    <mergeCell ref="P90:P92"/>
    <mergeCell ref="W90:W92"/>
    <mergeCell ref="AL75:AL76"/>
    <mergeCell ref="AD82:AE82"/>
    <mergeCell ref="AK82:AL82"/>
    <mergeCell ref="AD83:AE83"/>
    <mergeCell ref="AK83:AL83"/>
    <mergeCell ref="AD87:AD89"/>
    <mergeCell ref="AK87:AK89"/>
    <mergeCell ref="AD90:AD92"/>
    <mergeCell ref="AK90:AK92"/>
    <mergeCell ref="AT7:AU7"/>
    <mergeCell ref="AT8:AU8"/>
    <mergeCell ref="BA8:BB8"/>
    <mergeCell ref="BH8:BI8"/>
    <mergeCell ref="BO8:BP8"/>
    <mergeCell ref="AT9:AU9"/>
    <mergeCell ref="BA9:BB9"/>
    <mergeCell ref="BH9:BI9"/>
    <mergeCell ref="BO9:BP9"/>
    <mergeCell ref="AT13:AT15"/>
    <mergeCell ref="BA13:BA15"/>
    <mergeCell ref="BH13:BH15"/>
    <mergeCell ref="BO13:BO15"/>
    <mergeCell ref="AT16:AT18"/>
    <mergeCell ref="BA16:BA18"/>
    <mergeCell ref="BH16:BH18"/>
    <mergeCell ref="BO16:BO18"/>
    <mergeCell ref="AT21:AT22"/>
    <mergeCell ref="AU21:AU22"/>
    <mergeCell ref="BA21:BA22"/>
    <mergeCell ref="BB21:BB22"/>
    <mergeCell ref="BH21:BH22"/>
    <mergeCell ref="BI21:BI22"/>
    <mergeCell ref="BO21:BO22"/>
    <mergeCell ref="BP21:BP22"/>
    <mergeCell ref="AT25:AU25"/>
    <mergeCell ref="BA25:BB25"/>
    <mergeCell ref="BH25:BI25"/>
    <mergeCell ref="BO25:BP25"/>
    <mergeCell ref="AT26:AU26"/>
    <mergeCell ref="BA26:BB26"/>
    <mergeCell ref="BH26:BI26"/>
    <mergeCell ref="BO26:BP26"/>
    <mergeCell ref="AT30:AT32"/>
    <mergeCell ref="BA30:BA32"/>
    <mergeCell ref="BH30:BH32"/>
    <mergeCell ref="BO30:BO32"/>
    <mergeCell ref="AT33:AT35"/>
    <mergeCell ref="BA33:BA35"/>
    <mergeCell ref="BH33:BH35"/>
    <mergeCell ref="BO33:BO35"/>
    <mergeCell ref="AT38:AT39"/>
    <mergeCell ref="AU38:AU39"/>
    <mergeCell ref="BA38:BA39"/>
    <mergeCell ref="BB38:BB39"/>
    <mergeCell ref="BH38:BH39"/>
    <mergeCell ref="BI38:BI39"/>
    <mergeCell ref="BO38:BO39"/>
    <mergeCell ref="BP38:BP39"/>
    <mergeCell ref="AT44:AU44"/>
    <mergeCell ref="AT45:AU45"/>
    <mergeCell ref="BA45:BB45"/>
    <mergeCell ref="BH45:BI45"/>
    <mergeCell ref="BO45:BP45"/>
    <mergeCell ref="AT46:AU46"/>
    <mergeCell ref="BA46:BB46"/>
    <mergeCell ref="BH46:BI46"/>
    <mergeCell ref="BO46:BP46"/>
    <mergeCell ref="AT50:AT52"/>
    <mergeCell ref="BA50:BA52"/>
    <mergeCell ref="BH50:BH52"/>
    <mergeCell ref="BO50:BO52"/>
    <mergeCell ref="AT53:AT55"/>
    <mergeCell ref="BA53:BA55"/>
    <mergeCell ref="BH53:BH55"/>
    <mergeCell ref="BO53:BO55"/>
    <mergeCell ref="AT58:AT59"/>
    <mergeCell ref="AU58:AU59"/>
    <mergeCell ref="BA58:BA59"/>
    <mergeCell ref="BB58:BB59"/>
    <mergeCell ref="BH58:BH59"/>
    <mergeCell ref="BI58:BI59"/>
    <mergeCell ref="BO58:BO59"/>
    <mergeCell ref="BP58:BP59"/>
    <mergeCell ref="AT62:AU62"/>
    <mergeCell ref="BA62:BB62"/>
    <mergeCell ref="BH62:BI62"/>
    <mergeCell ref="BO62:BP62"/>
    <mergeCell ref="AT63:AU63"/>
    <mergeCell ref="BA63:BB63"/>
    <mergeCell ref="BH63:BI63"/>
    <mergeCell ref="BO63:BP63"/>
    <mergeCell ref="AT67:AT69"/>
    <mergeCell ref="BA67:BA69"/>
    <mergeCell ref="BH67:BH69"/>
    <mergeCell ref="BO67:BO69"/>
    <mergeCell ref="AT70:AT72"/>
    <mergeCell ref="BA70:BA72"/>
    <mergeCell ref="BH70:BH72"/>
    <mergeCell ref="BO70:BO72"/>
    <mergeCell ref="AT75:AT76"/>
    <mergeCell ref="AU75:AU76"/>
    <mergeCell ref="BA75:BA76"/>
    <mergeCell ref="BB75:BB76"/>
    <mergeCell ref="BH75:BH76"/>
    <mergeCell ref="BI75:BI76"/>
    <mergeCell ref="BO75:BO76"/>
    <mergeCell ref="BP75:BP76"/>
    <mergeCell ref="AT81:AU81"/>
    <mergeCell ref="AT82:AU82"/>
    <mergeCell ref="BA82:BB82"/>
    <mergeCell ref="BH82:BI82"/>
    <mergeCell ref="BO82:BP82"/>
    <mergeCell ref="AT83:AU83"/>
    <mergeCell ref="BA83:BB83"/>
    <mergeCell ref="BH83:BI83"/>
    <mergeCell ref="BO83:BP83"/>
    <mergeCell ref="AT87:AT89"/>
    <mergeCell ref="BA87:BA89"/>
    <mergeCell ref="BH87:BH89"/>
    <mergeCell ref="BO87:BO89"/>
    <mergeCell ref="AT90:AT92"/>
    <mergeCell ref="BA90:BA92"/>
    <mergeCell ref="BH90:BH92"/>
    <mergeCell ref="BO90:BO92"/>
    <mergeCell ref="AT95:AT96"/>
    <mergeCell ref="AU95:AU96"/>
    <mergeCell ref="BA95:BA96"/>
    <mergeCell ref="BB95:BB96"/>
    <mergeCell ref="BH95:BH96"/>
    <mergeCell ref="BI95:BI96"/>
    <mergeCell ref="BO95:BO96"/>
    <mergeCell ref="BP95:BP96"/>
    <mergeCell ref="AT99:AU99"/>
    <mergeCell ref="BA99:BB99"/>
    <mergeCell ref="BH99:BI99"/>
    <mergeCell ref="BO99:BP99"/>
    <mergeCell ref="AT100:AU100"/>
    <mergeCell ref="BA100:BB100"/>
    <mergeCell ref="BH100:BI100"/>
    <mergeCell ref="BO100:BP100"/>
    <mergeCell ref="AT104:AT106"/>
    <mergeCell ref="BA104:BA106"/>
    <mergeCell ref="BH104:BH106"/>
    <mergeCell ref="BO104:BO106"/>
    <mergeCell ref="AT107:AT109"/>
    <mergeCell ref="BA107:BA109"/>
    <mergeCell ref="BH107:BH109"/>
    <mergeCell ref="BO107:BO109"/>
    <mergeCell ref="AT112:AT113"/>
    <mergeCell ref="AU112:AU113"/>
    <mergeCell ref="BA112:BA113"/>
    <mergeCell ref="BB112:BB113"/>
    <mergeCell ref="BH112:BH113"/>
    <mergeCell ref="BI112:BI113"/>
    <mergeCell ref="BO112:BO113"/>
    <mergeCell ref="BP112:BP113"/>
    <mergeCell ref="AT119:AU119"/>
    <mergeCell ref="AT120:AU120"/>
    <mergeCell ref="BA120:BB120"/>
    <mergeCell ref="BH120:BI120"/>
    <mergeCell ref="BO120:BP120"/>
    <mergeCell ref="AT121:AU121"/>
    <mergeCell ref="BA121:BB121"/>
    <mergeCell ref="BH121:BI121"/>
    <mergeCell ref="BO121:BP121"/>
    <mergeCell ref="AT125:AT127"/>
    <mergeCell ref="BA125:BA127"/>
    <mergeCell ref="BH125:BH127"/>
    <mergeCell ref="BO125:BO127"/>
    <mergeCell ref="AT128:AT130"/>
    <mergeCell ref="BA128:BA130"/>
    <mergeCell ref="BH128:BH130"/>
    <mergeCell ref="BO128:BO130"/>
    <mergeCell ref="AT133:AT134"/>
    <mergeCell ref="AU133:AU134"/>
    <mergeCell ref="BA133:BA134"/>
    <mergeCell ref="BB133:BB134"/>
    <mergeCell ref="BH133:BH134"/>
    <mergeCell ref="BI133:BI134"/>
    <mergeCell ref="BO133:BO134"/>
    <mergeCell ref="BP133:BP134"/>
    <mergeCell ref="AT137:AU137"/>
    <mergeCell ref="BA137:BB137"/>
    <mergeCell ref="BH137:BI137"/>
    <mergeCell ref="BO137:BP137"/>
    <mergeCell ref="AT138:AU138"/>
    <mergeCell ref="BA138:BB138"/>
    <mergeCell ref="BH138:BI138"/>
    <mergeCell ref="BO138:BP138"/>
    <mergeCell ref="BP150:BP151"/>
    <mergeCell ref="AT142:AT144"/>
    <mergeCell ref="BA142:BA144"/>
    <mergeCell ref="BH142:BH144"/>
    <mergeCell ref="BO142:BO144"/>
    <mergeCell ref="AT145:AT147"/>
    <mergeCell ref="BA145:BA147"/>
    <mergeCell ref="BH145:BH147"/>
    <mergeCell ref="BO145:BO147"/>
    <mergeCell ref="AT150:AT151"/>
    <mergeCell ref="AU150:AU151"/>
    <mergeCell ref="BA150:BA151"/>
    <mergeCell ref="BB150:BB151"/>
    <mergeCell ref="BH150:BH151"/>
    <mergeCell ref="BI150:BI151"/>
    <mergeCell ref="BO150:BO151"/>
  </mergeCells>
  <phoneticPr fontId="5" type="noConversion"/>
  <pageMargins left="0.25" right="0.25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O13:O17"/>
  <sheetViews>
    <sheetView showGridLines="0" zoomScale="85" zoomScaleNormal="85" workbookViewId="0">
      <selection activeCell="F74" sqref="F74"/>
    </sheetView>
  </sheetViews>
  <sheetFormatPr defaultRowHeight="12"/>
  <cols>
    <col min="1" max="1" width="4.28515625" customWidth="1"/>
    <col min="12" max="12" width="10.140625" customWidth="1"/>
  </cols>
  <sheetData>
    <row r="13" spans="15:15" ht="13.5">
      <c r="O13" s="411"/>
    </row>
    <row r="14" spans="15:15">
      <c r="O14" s="412"/>
    </row>
    <row r="15" spans="15:15">
      <c r="O15" s="412"/>
    </row>
    <row r="16" spans="15:15">
      <c r="O16" s="412"/>
    </row>
    <row r="17" spans="15:15">
      <c r="O17" s="412"/>
    </row>
  </sheetData>
  <phoneticPr fontId="5" type="noConversion"/>
  <pageMargins left="0.25" right="0.25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5</vt:i4>
      </vt:variant>
    </vt:vector>
  </HeadingPairs>
  <TitlesOfParts>
    <vt:vector size="16" baseType="lpstr">
      <vt:lpstr>공지</vt:lpstr>
      <vt:lpstr>렌터카견적내기</vt:lpstr>
      <vt:lpstr>고객용견적</vt:lpstr>
      <vt:lpstr>모델정보데이터</vt:lpstr>
      <vt:lpstr>렌터카모델</vt:lpstr>
      <vt:lpstr>잔가기준</vt:lpstr>
      <vt:lpstr>현대제조사탁송료(전기차too)</vt:lpstr>
      <vt:lpstr>렌터카보험_수정</vt:lpstr>
      <vt:lpstr>인수형확약서</vt:lpstr>
      <vt:lpstr>주요기준</vt:lpstr>
      <vt:lpstr>정비</vt:lpstr>
      <vt:lpstr>au</vt:lpstr>
      <vt:lpstr>고객용견적!Print_Area</vt:lpstr>
      <vt:lpstr>공지!Print_Area</vt:lpstr>
      <vt:lpstr>렌터카견적내기!Print_Area</vt:lpstr>
      <vt:lpstr>인수형확약서!Print_Area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박동근</dc:creator>
  <cp:lastModifiedBy>이 한빛</cp:lastModifiedBy>
  <cp:lastPrinted>2024-12-13T05:27:44Z</cp:lastPrinted>
  <dcterms:created xsi:type="dcterms:W3CDTF">2022-06-16T05:08:33Z</dcterms:created>
  <dcterms:modified xsi:type="dcterms:W3CDTF">2025-01-16T03:46:34Z</dcterms:modified>
</cp:coreProperties>
</file>